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asulinaAV.CRB\Desktop\КРАСУЛИНА\СЗ 809 ЛП Ропивакаин\Публикация\"/>
    </mc:Choice>
  </mc:AlternateContent>
  <bookViews>
    <workbookView xWindow="0" yWindow="0" windowWidth="21570" windowHeight="8145" tabRatio="763" activeTab="5"/>
  </bookViews>
  <sheets>
    <sheet name="Справочник лекарств" sheetId="7" r:id="rId1"/>
    <sheet name="тарифный метод (только ЖНВЛП)" sheetId="2" r:id="rId2"/>
    <sheet name="Средневзвешенная" sheetId="8" r:id="rId3"/>
    <sheet name="анализ рынка" sheetId="1" r:id="rId4"/>
    <sheet name="Выбор минимального значения" sheetId="6" r:id="rId5"/>
    <sheet name="РНМЦД" sheetId="4" r:id="rId6"/>
  </sheets>
  <definedNames>
    <definedName name="_xlnm._FilterDatabase" localSheetId="1" hidden="1">'тарифный метод (только ЖНВЛП)'!$A$7:$K$7</definedName>
  </definedNames>
  <calcPr calcId="152511"/>
</workbook>
</file>

<file path=xl/calcChain.xml><?xml version="1.0" encoding="utf-8"?>
<calcChain xmlns="http://schemas.openxmlformats.org/spreadsheetml/2006/main">
  <c r="L10" i="4" l="1"/>
  <c r="K10" i="4"/>
  <c r="O10" i="1"/>
  <c r="P10" i="1" s="1"/>
  <c r="K10" i="1"/>
  <c r="L10" i="1" s="1"/>
  <c r="G10" i="1"/>
  <c r="H14" i="2"/>
  <c r="H20" i="2"/>
  <c r="H22" i="2"/>
  <c r="H28" i="2"/>
  <c r="H30" i="2"/>
  <c r="H36" i="2"/>
  <c r="H38" i="2"/>
  <c r="H44" i="2"/>
  <c r="H46" i="2"/>
  <c r="H52" i="2"/>
  <c r="H54" i="2"/>
  <c r="H57" i="2"/>
  <c r="H60" i="2"/>
  <c r="H62" i="2"/>
  <c r="H65" i="2"/>
  <c r="H68" i="2"/>
  <c r="H70" i="2"/>
  <c r="H73" i="2"/>
  <c r="H76" i="2"/>
  <c r="H78" i="2"/>
  <c r="F78" i="2"/>
  <c r="F77" i="2"/>
  <c r="H77" i="2" s="1"/>
  <c r="F76" i="2"/>
  <c r="F75" i="2"/>
  <c r="H75" i="2" s="1"/>
  <c r="F74" i="2"/>
  <c r="H74" i="2" s="1"/>
  <c r="F73" i="2"/>
  <c r="F72" i="2"/>
  <c r="H72" i="2" s="1"/>
  <c r="F71" i="2"/>
  <c r="H71" i="2" s="1"/>
  <c r="F70" i="2"/>
  <c r="F69" i="2"/>
  <c r="H69" i="2" s="1"/>
  <c r="F68" i="2"/>
  <c r="F67" i="2"/>
  <c r="H67" i="2" s="1"/>
  <c r="F66" i="2"/>
  <c r="H66" i="2" s="1"/>
  <c r="F65" i="2"/>
  <c r="F64" i="2"/>
  <c r="H64" i="2" s="1"/>
  <c r="F63" i="2"/>
  <c r="H63" i="2" s="1"/>
  <c r="F62" i="2"/>
  <c r="F61" i="2"/>
  <c r="H61" i="2" s="1"/>
  <c r="F60" i="2"/>
  <c r="F59" i="2"/>
  <c r="H59" i="2" s="1"/>
  <c r="F58" i="2"/>
  <c r="H58" i="2" s="1"/>
  <c r="F57" i="2"/>
  <c r="F56" i="2"/>
  <c r="H56" i="2" s="1"/>
  <c r="F55" i="2"/>
  <c r="H55" i="2" s="1"/>
  <c r="F54" i="2"/>
  <c r="F53" i="2"/>
  <c r="H53" i="2" s="1"/>
  <c r="F52" i="2"/>
  <c r="F51" i="2"/>
  <c r="H51" i="2" s="1"/>
  <c r="F50" i="2"/>
  <c r="H50" i="2" s="1"/>
  <c r="F49" i="2"/>
  <c r="H49" i="2" s="1"/>
  <c r="F48" i="2"/>
  <c r="H48" i="2" s="1"/>
  <c r="F47" i="2"/>
  <c r="H47" i="2" s="1"/>
  <c r="F46" i="2"/>
  <c r="F45" i="2"/>
  <c r="H45" i="2" s="1"/>
  <c r="F44" i="2"/>
  <c r="F43" i="2"/>
  <c r="H43" i="2" s="1"/>
  <c r="F42" i="2"/>
  <c r="H42" i="2" s="1"/>
  <c r="F41" i="2"/>
  <c r="H41" i="2" s="1"/>
  <c r="F40" i="2"/>
  <c r="H40" i="2" s="1"/>
  <c r="F39" i="2"/>
  <c r="H39" i="2" s="1"/>
  <c r="F38" i="2"/>
  <c r="F37" i="2"/>
  <c r="H37" i="2" s="1"/>
  <c r="F36" i="2"/>
  <c r="F35" i="2"/>
  <c r="H35" i="2" s="1"/>
  <c r="F34" i="2"/>
  <c r="H34" i="2" s="1"/>
  <c r="F33" i="2"/>
  <c r="H33" i="2" s="1"/>
  <c r="F32" i="2"/>
  <c r="H32" i="2" s="1"/>
  <c r="F31" i="2"/>
  <c r="H31" i="2" s="1"/>
  <c r="F30" i="2"/>
  <c r="F29" i="2"/>
  <c r="H29" i="2" s="1"/>
  <c r="F28" i="2"/>
  <c r="F27" i="2"/>
  <c r="H27" i="2" s="1"/>
  <c r="F26" i="2"/>
  <c r="H26" i="2" s="1"/>
  <c r="F25" i="2"/>
  <c r="H25" i="2" s="1"/>
  <c r="F24" i="2"/>
  <c r="H24" i="2" s="1"/>
  <c r="F23" i="2"/>
  <c r="H23" i="2" s="1"/>
  <c r="F22" i="2"/>
  <c r="F21" i="2"/>
  <c r="H21" i="2" s="1"/>
  <c r="F20" i="2"/>
  <c r="F19" i="2"/>
  <c r="H19" i="2" s="1"/>
  <c r="F18" i="2"/>
  <c r="H18" i="2" s="1"/>
  <c r="F17" i="2"/>
  <c r="H17" i="2" s="1"/>
  <c r="F16" i="2"/>
  <c r="H16" i="2" s="1"/>
  <c r="F15" i="2"/>
  <c r="H15" i="2" s="1"/>
  <c r="F14" i="2"/>
  <c r="F13" i="2"/>
  <c r="H13" i="2" s="1"/>
  <c r="F12" i="2"/>
  <c r="H12" i="2" s="1"/>
  <c r="F11" i="2"/>
  <c r="H11" i="2" s="1"/>
  <c r="F10" i="2"/>
  <c r="H10" i="2" s="1"/>
  <c r="F9" i="2"/>
  <c r="H9" i="2" s="1"/>
  <c r="F8" i="2"/>
  <c r="H8" i="2" s="1"/>
  <c r="I5" i="6" l="1"/>
  <c r="I10" i="4" l="1"/>
  <c r="H5" i="6"/>
  <c r="H10" i="1" l="1"/>
  <c r="B6" i="8"/>
  <c r="F7" i="8"/>
  <c r="N10" i="4" l="1"/>
  <c r="N11" i="4" l="1"/>
  <c r="H13" i="4" l="1"/>
</calcChain>
</file>

<file path=xl/sharedStrings.xml><?xml version="1.0" encoding="utf-8"?>
<sst xmlns="http://schemas.openxmlformats.org/spreadsheetml/2006/main" count="499" uniqueCount="190">
  <si>
    <t>№ п/п</t>
  </si>
  <si>
    <t>МНН или при отсутствии МНН химическое, группировочное наименование Товара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</si>
  <si>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</si>
  <si>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</si>
  <si>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</si>
  <si>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 xml:space="preserve">Расчет начальной (максимальной) цены контракта осуществляется по формуле: </t>
  </si>
  <si>
    <t>Минимальное значение НМЦ Товара за единицу измерения, руб.</t>
  </si>
  <si>
    <t>Расчет референтных цен, без учета НДС и оптовой надбавки</t>
  </si>
  <si>
    <t xml:space="preserve"> Количество единиц измерения к обеспечению </t>
  </si>
  <si>
    <t>-</t>
  </si>
  <si>
    <t>Обоснование формирования начальной (максимальной) цены контракта: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</si>
  <si>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</si>
  <si>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</si>
  <si>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</si>
  <si>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</si>
  <si>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</si>
  <si>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</si>
  <si>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t>МНН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</si>
  <si>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</si>
  <si>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</si>
  <si>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Нет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</si>
  <si>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</si>
  <si>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</si>
  <si>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</si>
  <si>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Предельная цена руб. без НДС</t>
  </si>
  <si>
    <t>№ РУ</t>
  </si>
  <si>
    <t>Дата регистрации цены
(№ решения)</t>
  </si>
  <si>
    <t>Единая информационная система в сфере закупок. Справочник лекарств (ЕСКЛП). Справочник-каталог лекарственных препаратов. Каталог товаров, работ, услуг для обеспечения государственных и муниципальных нужд.</t>
  </si>
  <si>
    <t>Расчетная цена за единицу измерения, руб.</t>
  </si>
  <si>
    <t>Расчетная предельная отпускная цена производителя без оптовой надбавки и без НДС, за единицу товара руб.</t>
  </si>
  <si>
    <t>Количество в потребительской упаковке</t>
  </si>
  <si>
    <t xml:space="preserve">а) Метод сопостовимых рыночных цен, предусмотренный части 2-6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</si>
  <si>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Расчет средневзвешенной цены по контрактам (в случае заключения единственного контракта – цены по контракту), без учета НДС и оптовой надбавки</t>
  </si>
  <si>
    <t>Минимальное значение цены без учета НДС и оптовой надбавки</t>
  </si>
  <si>
    <t>Наименьшая цена единицы лекарственного препараты</t>
  </si>
  <si>
    <t>Цена за упаковку, руб.</t>
  </si>
  <si>
    <t>Количество упаковок</t>
  </si>
  <si>
    <t xml:space="preserve">Цена **по контракту за упаковку без НДС и оптовой надбавки, руб </t>
  </si>
  <si>
    <t>Цена **по  контракту за штуку без НДС и оптовой надбавки, руб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</si>
  <si>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</si>
  <si>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</si>
  <si>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Примечание</t>
  </si>
  <si>
    <t>а) метод сопоставимых рыночных цен (анализ рынка) и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</t>
  </si>
  <si>
    <t xml:space="preserve">г)Для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</si>
  <si>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Всего</t>
  </si>
  <si>
    <t>Торговое наименование, дозировка, лекарственная форма</t>
  </si>
  <si>
    <t>Да</t>
  </si>
  <si>
    <t>РАСЧЕТ НАЧАЛЬНОЙ (МАКСИМАЛЬНОЙ) ЦЕНЫ КОНТРАКТА</t>
  </si>
  <si>
    <t>Количество шт в упаковке</t>
  </si>
  <si>
    <t>Количество шт всего</t>
  </si>
  <si>
    <t>Кубический сантиметр; миллилитр</t>
  </si>
  <si>
    <r>
      <t xml:space="preserve">Цена для формирования НЦК с НДС </t>
    </r>
    <r>
      <rPr>
        <u/>
        <sz val="11"/>
        <color theme="1"/>
        <rFont val="Times New Roman"/>
        <family val="1"/>
        <charset val="204"/>
      </rPr>
      <t>с округлением</t>
    </r>
  </si>
  <si>
    <t>Кол-во в ед.измерения,  в 1 упаковке</t>
  </si>
  <si>
    <t xml:space="preserve">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</si>
  <si>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</t>
  </si>
  <si>
    <t xml:space="preserve">в) Расчет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 ( Официальный сайт Единой информационной системы в сфере закупок zakupki.gov.ru), начальной цены единицы лекарственного препарата, проводится по формуле:
Цвзв=  (Ц_1  х k_1+⋯+Ц_n  х k_n)/(∑▒k_n )  , где:
Ц1 – цена единицы лекарственного препарата без учета НДС и оптовой надбавки;
       k – количество закупленных лекарственных препаратов в эквивалентных лекарственных формах и дозировках.
 Информация официального сайта Единой информационной системы в сфере закупок (http://zakupki.gov.ru) 
</t>
  </si>
  <si>
    <t>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</t>
  </si>
  <si>
    <t>Цена с НДС **</t>
  </si>
  <si>
    <t xml:space="preserve">       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</si>
  <si>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       ** НДС +10%, в соответствии с подпунктом 4 пункта 2 статьи 164 «Налогового кодекса Российской Федерации (часть вторая)» от 05.08.2000 № 117-ФЗ. </t>
  </si>
  <si>
    <t xml:space="preserve"> Оптовая надбавка *</t>
  </si>
  <si>
    <t>Цена для формирования НЦК с оптовой надбавкой для ЖНВЛП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</si>
  <si>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применялись: 
</t>
  </si>
  <si>
    <t xml:space="preserve">Применялись 2 метода расчета: 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</si>
  <si>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контракта.</t>
  </si>
  <si>
    <t xml:space="preserve">Начальная (максимальная) цена контракта составляет: </t>
  </si>
  <si>
    <t xml:space="preserve">          Начальная (максимальная) цена контракта включает в себя все расходы на поставку товара, включая расходы по упаковке, доставке, погрузо-разгрузочным работам, а также расходы на страхование, уплату таможенных пошлин, налогов и других обязательных платежей, которые Поставщик должен выплатить в связи с выполнением обязательств по контракту в соответствии с законодательством Российской Федерации. </t>
  </si>
  <si>
    <t xml:space="preserve">б)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</si>
  <si>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>в)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- данный метод не применяется так как отсутствуют исполненные поставщиком государственных (муниципальных) контрактов на поставку планируемого к закупке лекарственного препарата за 12 месяцев, предшествующих месяцу расчета НМЦК.</t>
  </si>
  <si>
    <t>Зам. начальника материально - технического обеспечения и закупок  _______________________ / А.В.Красулина /</t>
  </si>
  <si>
    <t>Итого:</t>
  </si>
  <si>
    <t>Коммерческие предложения</t>
  </si>
  <si>
    <t xml:space="preserve">г)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 - данный метод не применяется так как на момент формирования НМЦК (от 08.2026) информация о референтной цене на официальном сайте Единой информационной системы в сфере закупок (http://zakupki.gov.ru): отсутствует. </t>
  </si>
  <si>
    <t xml:space="preserve">б) тарифный метод в соответствии с частями 1-2, 6 и 8 статьи 22 Федерального закона от  5 апреля 2013 г. № 44-ФЗ «О контрактной системе в сфере закупок товаров, работ, услуг для обеспечения государственных и муниципальных нужд». </t>
  </si>
  <si>
    <t>Не применялись 2 метода расчета:</t>
  </si>
  <si>
    <t>Объект закупки: Поставка лекарственного препарата для медицинского применения: Ропивакаин</t>
  </si>
  <si>
    <t>Ропивакаин</t>
  </si>
  <si>
    <t>21.20.10.231-000011-1-00049-0000000000000</t>
  </si>
  <si>
    <t>Раствор для инъекций
ГРЛС: Раствор для инъекций</t>
  </si>
  <si>
    <t>10 мг/мл
ГРЛС: 10 мг/мл</t>
  </si>
  <si>
    <t>Ропивакаин Каби</t>
  </si>
  <si>
    <t>раствор для инъекций, 10 мг/мл, 10 мл - ампулы (5)  - пачки картонные</t>
  </si>
  <si>
    <t xml:space="preserve">Вл.Фрезениус Каби Дойчланд ГмбХ, Германия ( DE812738852); Вып.к.Перв.Уп.Втор.Уп.Пр.Фрезениус Каби Нордж АС, Норвегия (980 250 008); </t>
  </si>
  <si>
    <t>раствор для инъекций, 10 мг/мл, 20 мл - ампулы (5)  - пачки картонные</t>
  </si>
  <si>
    <t>Рапинов</t>
  </si>
  <si>
    <t>раствор для инъекций, 10 мг/мл, 10 мл - ампулы (10)  - пачки картонные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</si>
  <si>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</si>
  <si>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 xml:space="preserve">Вл.Общество с ограниченной ответственностью "Б-ФАРМ"  (ООО "Б-ФАРМ"), Россия (5032209300); Вып.к.Перв.Уп.Втор.Уп.Пр.ФГБУ "Национальный медицинский исследовательский центр кардиологии" Министерства здравоохранения Российской Федерации (ФГБУ "НМИЦ кардиологии" Минздрава России), Россия (7731243467); </t>
  </si>
  <si>
    <t>Ропивабин®</t>
  </si>
  <si>
    <t>раствор для инъекций, 10 мг/мл, 10 мл - ампула (5)  - пачка картонная</t>
  </si>
  <si>
    <t xml:space="preserve">Вл.Общество с ограниченной ответственностью"Производственная фармацевтическая компания "Алиум" (ООО "ПФК "Алиум"), Россия (5024108186); Вып.к.Перв.Уп.Втор.Уп.Пр.Акционерное общество "Биннофарм" (АО "Биннофарм"), Россия (7735518627); </t>
  </si>
  <si>
    <t xml:space="preserve">Вл.Общество с ограниченной ответственностью "Б-ФАРМ" (ООО "Б-ФАРМ"), Россия (5032209300); Вып.к.Перв.Уп.Втор.Уп.Пр.Общество с ограниченной ответственностью "Б-ФАРМ"  (ООО "Б-ФАРМ"), Россия (5032209300); </t>
  </si>
  <si>
    <t>раствор для инъекций, 10 мг/мл, 10 мл - флакон (5)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</si>
  <si>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</si>
  <si>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раствор для инъекций, 10 мг/мл, 5 мл - ампула (10)  - пачка картонная</t>
  </si>
  <si>
    <t>РОПИВАКАИН ВЕЛФАРМ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</si>
  <si>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</si>
  <si>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 xml:space="preserve">Вл.Вып.к.Перв.Уп.Втор.Уп.Пр.Федеральное государственное унитарное предприятие "Научно-производственный центр "Фармзащита" Федерального медико-биологического агентства (ФГУП НПЦ "Фармзащита" ФМБА России), Россия (5047009329); </t>
  </si>
  <si>
    <t>раствор для инъекций, 10 мг/мл, 10 мл - ампулы (25)  - пачки картонные</t>
  </si>
  <si>
    <t>Ропивакаин-Бинергия</t>
  </si>
  <si>
    <t xml:space="preserve">Вл.Акционерное общество "Бинергия" (АО "Бинергия"), Россия (5001062880); 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</si>
  <si>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Вл.Фрезениус Каби Дойчланд ГмбХ, Германия ( DE812738852); Вып.к.Перв.Уп.Втор.Уп.Пр.ЭйчПи Халден Фарма АС, Норвегия (931241818MVA); </t>
  </si>
  <si>
    <t xml:space="preserve">Вл.Вып.к.Перв.Уп.Втор.Уп.Пр.Публичное акционерное общество "Красфарма" (ПАО "Красфарма"), Россия (2464010490); </t>
  </si>
  <si>
    <t>раствор для инъекций, 10 мг/мл, 10 мл - флакон (10)  - пачка картонная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</si>
  <si>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</si>
  <si>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раствор для инъекций, 10 мг/мл, 5 мл - ампула (5)  - пачка картонная</t>
  </si>
  <si>
    <t>раствор для инъекций, 10 мг/мл, 10 мл - флакон (1)  - пачка картонная</t>
  </si>
  <si>
    <t>раствор для инъекций, 10 мг/мл, 20 мл - флакон (1)  - пачка картонная</t>
  </si>
  <si>
    <t>раствор для инъекций, 10 мг/мл, 20 мл - флакон (5)  - пачка картонная</t>
  </si>
  <si>
    <t xml:space="preserve">Вл.Публичное акционерное общество "Акционерное Курганское общество медицинских препаратов и изделий "Синтез" (ПАО "Синтез"), Россия (4501023743); Вып.к.Перв.Уп.Втор.Уп.Пр.Акционерное общество "Биннофарм" (АО "Биннофарм"), Россия (7735518627);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</si>
  <si>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</si>
  <si>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 xml:space="preserve">Вл.АО "ЭкоФармПлюс", Россия (5043041240); Вып.к.Перв.Уп.Втор.Уп.Пр.Акционерное общество "ЭкоФармПлюс" (АО "ЭкоФармПлюс"), Россия (5043041240); </t>
  </si>
  <si>
    <t>раствор для инъекций, 10 мг/мл, 20 мл - ампулы (10)  - пачки картонные</t>
  </si>
  <si>
    <t xml:space="preserve">Вл.Вып.к.Перв.Уп.Втор.Уп.Пр.Общество с ограниченной ответственностью "Б-ФАРМ"  (ООО "Б-ФАРМ"), Россия (5032209300); </t>
  </si>
  <si>
    <t>раствор для инъекций, 10 мг/мл, 5 мл - ампулы (3)  - упаковки ячейковые контурные (1) - пачки картонные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</si>
  <si>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</si>
  <si>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раствор для инъекций, 10 мг/мл, 5 мл - ампулы (5)  - упаковки ячейковые контурные (1) - пачки картонные</t>
  </si>
  <si>
    <t>раствор для инъекций, 10 мг/мл, 5 мл - ампулы (10)  - упаковки ячейковые контурные (1) - пачки картонные</t>
  </si>
  <si>
    <t>раствор для инъекций, 10 мг/мл, 5 мл - ампулы (5)  - упаковки ячейковые контурные (2) - пачки картонные</t>
  </si>
  <si>
    <t>раствор для инъекций, 10 мг/мл, 5 мл - ампулы (5)  - упаковки ячейковые контурные (4) - пачки картонные</t>
  </si>
  <si>
    <t>раствор для инъекций, 10 мг/мл, 5 мл - ампулы (10)  - упаковки ячейковые контурные (2) - пачки картонные</t>
  </si>
  <si>
    <t>раствор для инъекций, 10 мг/мл, 5 мл - ампулы (5)  / Для стационаров / - упаковки ячейковые контурные (10) - пачки картонные</t>
  </si>
  <si>
    <t>раствор для инъекций, 10 мг/мл, 5 мл - ампулы (10)  / Для стационаров / - упаковки ячейковые контурные (5) - пачки картонные</t>
  </si>
  <si>
    <t>раствор для инъекций, 10 мг/мл, 5 мл - ампулы (5)  / Для стационаров / - упаковки ячейковые контурные (20)- пачки картонные</t>
  </si>
  <si>
    <t>раствор для инъекций, 10 мг/мл, 5 мл - ампулы (10)  / Для стационаров / - упаковки ячейковые контурные (10) - пачки картонные</t>
  </si>
  <si>
    <t>раствор для инъекций, 10 мг/мл, 10 мл - ампулы (3)  - упаковки ячейковые контурные (1) - пачки картонные</t>
  </si>
  <si>
    <t>раствор для инъекций, 10 мг/мл, 10 мл - ампулы (5)  - упаковки ячейковые контурные (1) - пачки картонные</t>
  </si>
  <si>
    <t>раствор для инъекций, 10 мг/мл, 10 мл - ампулы (10)  - упаковки ячейковые контурные (1) - пачки картонные</t>
  </si>
  <si>
    <t>раствор для инъекций, 10 мг/мл, 10 мл - ампулы (5)  - упаковки ячейковые контурные (2) - пачки картонные</t>
  </si>
  <si>
    <t>раствор для инъекций, 10 мг/мл, 10 мл - ампулы (5)  - упаковки ячейковые контурные (4) - пачки картонные</t>
  </si>
  <si>
    <t>раствор для инъекций, 10 мг/мл, 10 мл - ампулы (10)  - упаковки ячейковые контурные (2) - пачки картонные</t>
  </si>
  <si>
    <t>раствор для инъекций, 10 мг/мл, 10 мл - ампулы (5)  / Для стационаров / - упаковки ячейковые контурные (10) - пачки картонные</t>
  </si>
  <si>
    <t>раствор для инъекций, 10 мг/мл, 10 мл - ампулы (10)  / Для стационаров / - упаковки ячейковые контурные (5) - пачки картонные</t>
  </si>
  <si>
    <t>раствор для инъекций, 10 мг/мл, 20 мл - ампулы (5)  / Для стационаров / - упаковки ячейковые контурные (20)- пачки картонные</t>
  </si>
  <si>
    <t>раствор для инъекций, 10 мг/мл, 20 мл - ампулы (10)  / Для стационаров / - упаковки ячейковые контурные (10) - пачки картонные</t>
  </si>
  <si>
    <t>раствор для инъекций, 10 мг/мл, 10 мл - ампулы (5)  / Для стационаров / - упаковки ячейковые контурные (20)- пачки картонные</t>
  </si>
  <si>
    <t>раствор для инъекций, 10 мг/мл, 10 мл - ампулы (10)  / Для стационаров / - упаковки ячейковые контурные (10) - пачки картонные</t>
  </si>
  <si>
    <t>раствор для инъекций, 10 мг/мл, 20 мл - ампулы (3)  - упаковки ячейковые контурные (1) - пачки картонные</t>
  </si>
  <si>
    <t>раствор для инъекций, 10 мг/мл, 20 мл - ампулы (5)  - упаковки ячейковые контурные (1) - пачки картонные</t>
  </si>
  <si>
    <t>раствор для инъекций, 10 мг/мл, 20 мл - ампулы (10)  - упаковки ячейковые контурные (1) - пачки картонные</t>
  </si>
  <si>
    <t>раствор для инъекций, 10 мг/мл, 20 мл - ампулы (5)  - упаковки ячейковые контурные (2) - пачки картонные</t>
  </si>
  <si>
    <t>раствор для инъекций, 10 мг/мл, 20 мл - ампулы (5)  - упаковки ячейковые контурные (4) - пачки картонные</t>
  </si>
  <si>
    <t>раствор для инъекций, 10 мг/мл, 20 мл - ампулы (10)  - упаковки ячейковые контурные (2) - пачки картонные</t>
  </si>
  <si>
    <t>раствор для инъекций, 10 мг/мл, 20 мл - ампулы (5)  / Для стационаров / - упаковки ячейковые контурные (10) - пачки картонные</t>
  </si>
  <si>
    <t>раствор для инъекций, 10 мг/мл, 20 мл - ампулы (10)  / Для стационаров / - упаковки ячейковые контурные (5) - пачки картонные</t>
  </si>
  <si>
    <t xml:space="preserve">Вл.Общество с ограниченной ответственностью "БрейнФарм" (ООО "БрейнФарм"), Россия (5043091033); Вып.к.Перв.Уп.Втор.Уп.Пр.Акционерное общество "ЭкоФармПлюс" (АО "ЭкоФармПлюс"), Россия (5043041240); </t>
  </si>
  <si>
    <t>ЛП-002897</t>
  </si>
  <si>
    <t>17.11.2020 
 475/20-20-ОПР</t>
  </si>
  <si>
    <t>ЛП-005515</t>
  </si>
  <si>
    <t>ЛП-005582</t>
  </si>
  <si>
    <t>18.10.2022 
25-7-4230870-ОПР-изм</t>
  </si>
  <si>
    <t>21.11.2022 
1558/20-22</t>
  </si>
  <si>
    <t>ЛП-№(001396)-(РГ-RU)</t>
  </si>
  <si>
    <t>31.01.2023 
25-7-4240987-ОПР-изм</t>
  </si>
  <si>
    <t>ЛП-№(002099)-(РГ-RU)</t>
  </si>
  <si>
    <t>22.08.2023 
25-7-4261919-изм</t>
  </si>
  <si>
    <t>ЛП-№(003582)-(РГ-RU)</t>
  </si>
  <si>
    <t>26.01.2024 
25-7-4274517-изм</t>
  </si>
  <si>
    <t>ЛП-008154</t>
  </si>
  <si>
    <t>28.03.2024 
319/20-24</t>
  </si>
  <si>
    <t>ЛП-№(005122)-(РГ-RU)</t>
  </si>
  <si>
    <t>17.06.2024 
25-7-4288853-изм</t>
  </si>
  <si>
    <t>ЛП-№(003342)-(РГ-RU)</t>
  </si>
  <si>
    <t>10.07.2024 
25-7-4288978-ОПР-изм</t>
  </si>
  <si>
    <t>ЛП-№(005324)-(РГ-RU)</t>
  </si>
  <si>
    <t>23.07.2024 
25-7-4292923-ОПР-изм</t>
  </si>
  <si>
    <t>12.09.2024 
25-7-4298469-ОПР-изм</t>
  </si>
  <si>
    <t>ЛП-№(006330)-(РГ-RU)</t>
  </si>
  <si>
    <t>24.09.2024 
25-7-4299790-ОПР-изм</t>
  </si>
  <si>
    <t>ЛП-004935</t>
  </si>
  <si>
    <t>28.03.2022 
25-7-4208183-ОПР-изм</t>
  </si>
  <si>
    <t>ЛП-№(008250)-(РГ-RU)</t>
  </si>
  <si>
    <t>07.03.2025 
248/20-25</t>
  </si>
  <si>
    <t>ЛП-№(009523)-(РГ-RU)</t>
  </si>
  <si>
    <t>07.05.2025 
25-7-4323830-изм</t>
  </si>
  <si>
    <t>27.06.2025 
25-7-4326613-изм</t>
  </si>
  <si>
    <t>15.09.2025 
25-7-4337071-изм</t>
  </si>
  <si>
    <t>ЛП-№(009287)-(РГ-RU)</t>
  </si>
  <si>
    <t>17.09.2025 
25-7-4338012-ОПР-изм</t>
  </si>
  <si>
    <t>24.10.2025 
1765/20-25</t>
  </si>
  <si>
    <t>ЛП-№(005747)-(РГ-RU)</t>
  </si>
  <si>
    <t>11.11.2025 
25-7-4343635-изм</t>
  </si>
  <si>
    <t>23.03.2026 
25-7-4357281-ОПР-изм</t>
  </si>
  <si>
    <t>10.06.2026 
968/25-26</t>
  </si>
  <si>
    <t>Наличие в гражданском обороте ЛП на 25.08.2026</t>
  </si>
  <si>
    <r>
      <t xml:space="preserve">         В целях получения ценовой информации в отношении поставляемого товара для определения НМЦК </t>
    </r>
    <r>
      <rPr>
        <b/>
        <sz val="11"/>
        <rFont val="Times New Roman"/>
        <family val="1"/>
        <charset val="204"/>
      </rPr>
      <t>был направлен запрос от 49-08/26 от 21.08.2026</t>
    </r>
    <r>
      <rPr>
        <sz val="11"/>
        <rFont val="Times New Roman"/>
        <family val="1"/>
        <charset val="204"/>
      </rPr>
      <t xml:space="preserve">  о предоставлении ценовой информации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44-ФЗ.  </t>
    </r>
  </si>
  <si>
    <t>Коммерческое предложение №1 (вх №6237 от 25.08.2026г.)</t>
  </si>
  <si>
    <t>Коммерческое предложение №2 (вх №6238 от 25.08.2026г.)</t>
  </si>
  <si>
    <t>Коммерческое предложение №3 (вх №6239 от 25.08.2026г.)</t>
  </si>
  <si>
    <t>дата расчета 25.08.2026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</si>
</sst>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₽&quot;"/>
    <numFmt numFmtId="165" formatCode="#,##0.000"/>
    <numFmt numFmtId="166" formatCode="[$-10419]###\ ###\ ##0.00"/>
    <numFmt numFmtId="167" formatCode="[$-10419]###\ ###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0" fillId="0" borderId="0" xfId="0" applyFont="1" applyAlignment="1">
      <alignment horizontal="left" vertical="top"/>
    </xf>
    <xf numFmtId="0" fontId="7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2" fillId="0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2" fontId="1" fillId="0" borderId="4" xfId="0" applyNumberFormat="1" applyFont="1" applyBorder="1" applyAlignment="1">
      <alignment horizontal="center" vertical="center" wrapText="1"/>
    </xf>
    <xf numFmtId="2" fontId="1" fillId="7" borderId="4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2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4" fontId="4" fillId="5" borderId="1" xfId="0" applyNumberFormat="1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right" vertical="center"/>
    </xf>
    <xf numFmtId="0" fontId="5" fillId="0" borderId="0" xfId="0" applyFont="1"/>
    <xf numFmtId="4" fontId="5" fillId="0" borderId="0" xfId="0" applyNumberFormat="1" applyFont="1" applyBorder="1" applyAlignment="1">
      <alignment horizontal="right" vertical="center"/>
    </xf>
    <xf numFmtId="4" fontId="5" fillId="3" borderId="0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top"/>
    </xf>
    <xf numFmtId="165" fontId="4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/>
    <xf numFmtId="14" fontId="4" fillId="0" borderId="0" xfId="0" applyNumberFormat="1" applyFont="1" applyAlignment="1">
      <alignment horizontal="left"/>
    </xf>
    <xf numFmtId="0" fontId="0" fillId="0" borderId="0" xfId="0" applyFont="1"/>
    <xf numFmtId="2" fontId="7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2" fontId="4" fillId="0" borderId="0" xfId="0" applyNumberFormat="1" applyFont="1" applyFill="1" applyAlignment="1">
      <alignment horizontal="center" vertical="center" wrapText="1"/>
    </xf>
    <xf numFmtId="2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164" fontId="5" fillId="0" borderId="0" xfId="0" applyNumberFormat="1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9" xfId="0" applyFont="1" applyBorder="1" applyAlignment="1" applyProtection="1">
      <alignment horizontal="center" vertical="top" wrapText="1" readingOrder="1"/>
      <protection locked="0"/>
    </xf>
    <xf numFmtId="4" fontId="3" fillId="6" borderId="4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top" wrapText="1" readingOrder="1"/>
      <protection locked="0"/>
    </xf>
    <xf numFmtId="167" fontId="11" fillId="0" borderId="8" xfId="0" applyNumberFormat="1" applyFont="1" applyBorder="1" applyAlignment="1" applyProtection="1">
      <alignment horizontal="center" vertical="top" wrapText="1" readingOrder="1"/>
      <protection locked="0"/>
    </xf>
    <xf numFmtId="166" fontId="11" fillId="0" borderId="8" xfId="0" applyNumberFormat="1" applyFont="1" applyBorder="1" applyAlignment="1" applyProtection="1">
      <alignment horizontal="center" vertical="top" wrapText="1" readingOrder="1"/>
      <protection locked="0"/>
    </xf>
    <xf numFmtId="0" fontId="11" fillId="0" borderId="8" xfId="0" applyFont="1" applyBorder="1" applyAlignment="1" applyProtection="1">
      <alignment horizontal="center" vertical="top" wrapText="1" readingOrder="1"/>
      <protection locked="0"/>
    </xf>
    <xf numFmtId="2" fontId="11" fillId="0" borderId="8" xfId="0" applyNumberFormat="1" applyFont="1" applyBorder="1" applyAlignment="1" applyProtection="1">
      <alignment horizontal="center" vertical="top" wrapText="1" readingOrder="1"/>
      <protection locked="0"/>
    </xf>
    <xf numFmtId="2" fontId="11" fillId="8" borderId="8" xfId="0" applyNumberFormat="1" applyFont="1" applyFill="1" applyBorder="1" applyAlignment="1" applyProtection="1">
      <alignment horizontal="center" vertical="top" wrapText="1" readingOrder="1"/>
      <protection locked="0"/>
    </xf>
    <xf numFmtId="166" fontId="11" fillId="8" borderId="8" xfId="0" applyNumberFormat="1" applyFont="1" applyFill="1" applyBorder="1" applyAlignment="1" applyProtection="1">
      <alignment horizontal="center" vertical="top" wrapText="1" readingOrder="1"/>
      <protection locked="0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4" fillId="0" borderId="0" xfId="0" applyFont="1" applyAlignment="1">
      <alignment horizontal="right"/>
    </xf>
    <xf numFmtId="0" fontId="5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 vertical="top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4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CCFF"/>
      <color rgb="FF00FF0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9</xdr:col>
      <xdr:colOff>133786</xdr:colOff>
      <xdr:row>133</xdr:row>
      <xdr:rowOff>189214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704"/>
        <a:stretch/>
      </xdr:blipFill>
      <xdr:spPr>
        <a:xfrm>
          <a:off x="340179" y="38004750"/>
          <a:ext cx="18285714" cy="9904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563880</xdr:colOff>
      <xdr:row>4</xdr:row>
      <xdr:rowOff>26670</xdr:rowOff>
    </xdr:from>
    <xdr:to>
      <xdr:col>4</xdr:col>
      <xdr:colOff>852665</xdr:colOff>
      <xdr:row>4</xdr:row>
      <xdr:rowOff>231738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0" y="887730"/>
          <a:ext cx="1765720" cy="2171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zoomScale="85" zoomScaleNormal="85" workbookViewId="0">
      <selection activeCell="B8" sqref="B8:F8"/>
    </sheetView>
  </sheetViews>
  <sheetFormatPr defaultColWidth="8.85546875" defaultRowHeight="15" x14ac:dyDescent="0.25"/>
  <cols>
    <col min="1" max="1" width="4.85546875" style="3" customWidth="1"/>
    <col min="2" max="2" width="28.5703125" style="3" customWidth="1"/>
    <col min="3" max="3" width="21.140625" style="3" customWidth="1"/>
    <col min="4" max="4" width="23.140625" style="3" customWidth="1"/>
    <col min="5" max="5" width="70.85546875" style="3" customWidth="1"/>
    <col min="6" max="6" width="24.28515625" style="3" customWidth="1"/>
    <col min="7" max="7" width="29.85546875" style="3" customWidth="1"/>
    <col min="8" max="8" width="32.28515625" style="3" customWidth="1"/>
    <col min="9" max="9" width="15.85546875" style="3" customWidth="1"/>
    <col min="10" max="13" width="8.85546875" style="3"/>
    <col min="14" max="14" width="8.7109375" style="3" customWidth="1"/>
    <col min="15" max="16384" width="8.85546875" style="3"/>
  </cols>
  <sheetData>
    <row r="2" spans="1:8" ht="44.45" customHeight="1" x14ac:dyDescent="0.25">
      <c r="A2" s="78" t="s">
        <v>18</v>
      </c>
      <c r="B2" s="78"/>
      <c r="C2" s="78"/>
      <c r="D2" s="78"/>
      <c r="E2" s="78"/>
      <c r="F2" s="78"/>
      <c r="G2" s="78"/>
      <c r="H2" s="78"/>
    </row>
    <row r="3" spans="1:8" ht="46.5" customHeight="1" x14ac:dyDescent="0.25">
      <c r="A3" s="79" t="s">
        <v>43</v>
      </c>
      <c r="B3" s="79"/>
      <c r="C3" s="79"/>
      <c r="D3" s="79"/>
      <c r="E3" s="79"/>
      <c r="F3" s="79"/>
      <c r="G3" s="79"/>
      <c r="H3" s="79"/>
    </row>
    <row r="5" spans="1:8" ht="32.25" customHeight="1" x14ac:dyDescent="0.25">
      <c r="A5" s="80" t="s">
        <v>27</v>
      </c>
      <c r="B5" s="80"/>
      <c r="C5" s="80"/>
      <c r="D5" s="80"/>
      <c r="E5" s="80"/>
      <c r="F5" s="80"/>
      <c r="G5" s="80"/>
      <c r="H5" s="80"/>
    </row>
    <row r="7" spans="1:8" ht="60" x14ac:dyDescent="0.25">
      <c r="A7" s="8" t="s">
        <v>0</v>
      </c>
      <c r="B7" s="25" t="s">
        <v>1</v>
      </c>
      <c r="C7" s="25" t="s">
        <v>11</v>
      </c>
      <c r="D7" s="25" t="s">
        <v>12</v>
      </c>
      <c r="E7" s="9" t="s">
        <v>13</v>
      </c>
      <c r="F7" s="25" t="s">
        <v>14</v>
      </c>
      <c r="G7" s="25" t="s">
        <v>15</v>
      </c>
      <c r="H7" s="25" t="s">
        <v>16</v>
      </c>
    </row>
    <row r="8" spans="1:8" ht="108.75" customHeight="1" x14ac:dyDescent="0.25">
      <c r="A8" s="34">
        <v>1</v>
      </c>
      <c r="B8" s="25" t="s">
        <v>76</v>
      </c>
      <c r="C8" s="25" t="s">
        <v>77</v>
      </c>
      <c r="D8" s="25" t="s">
        <v>50</v>
      </c>
      <c r="E8" s="9" t="s">
        <v>78</v>
      </c>
      <c r="F8" s="25" t="s">
        <v>79</v>
      </c>
      <c r="G8" s="25" t="s">
        <v>46</v>
      </c>
      <c r="H8" s="25" t="s">
        <v>20</v>
      </c>
    </row>
  </sheetData>
  <mergeCells count="3">
    <mergeCell ref="A2:H2"/>
    <mergeCell ref="A3:H3"/>
    <mergeCell ref="A5:H5"/>
  </mergeCells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81"/>
  <sheetViews>
    <sheetView topLeftCell="A34" zoomScale="70" zoomScaleNormal="70" workbookViewId="0">
      <selection activeCell="S14" sqref="S14"/>
    </sheetView>
  </sheetViews>
  <sheetFormatPr defaultColWidth="8.85546875" defaultRowHeight="15" x14ac:dyDescent="0.25"/>
  <cols>
    <col min="1" max="1" width="5.140625" style="62" customWidth="1"/>
    <col min="2" max="2" width="17.7109375" style="62" customWidth="1"/>
    <col min="3" max="3" width="23.7109375" style="62" customWidth="1"/>
    <col min="4" max="4" width="62.28515625" style="62" customWidth="1"/>
    <col min="5" max="5" width="110.140625" style="62" customWidth="1"/>
    <col min="6" max="6" width="12.42578125" style="62" customWidth="1"/>
    <col min="7" max="7" width="13.85546875" style="62" customWidth="1"/>
    <col min="8" max="8" width="16.140625" style="53" customWidth="1"/>
    <col min="9" max="9" width="15.85546875" style="62" customWidth="1"/>
    <col min="10" max="10" width="29.140625" style="62" customWidth="1"/>
    <col min="11" max="11" width="27.7109375" style="53" customWidth="1"/>
    <col min="12" max="12" width="49.28515625" style="62" customWidth="1"/>
    <col min="13" max="16384" width="8.85546875" style="62"/>
  </cols>
  <sheetData>
    <row r="2" spans="1:12" ht="39" customHeight="1" x14ac:dyDescent="0.25">
      <c r="A2" s="81" t="s">
        <v>18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</row>
    <row r="3" spans="1:12" ht="25.5" customHeight="1" x14ac:dyDescent="0.25">
      <c r="A3" s="83" t="s">
        <v>67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2" ht="34.5" customHeight="1" x14ac:dyDescent="0.25">
      <c r="A4" s="83" t="s">
        <v>53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</row>
    <row r="5" spans="1:12" ht="18.600000000000001" customHeight="1" x14ac:dyDescent="0.25">
      <c r="A5" s="84" t="s">
        <v>3</v>
      </c>
      <c r="B5" s="84"/>
      <c r="C5" s="84"/>
      <c r="D5" s="84"/>
      <c r="E5" s="81"/>
      <c r="F5" s="81"/>
      <c r="G5" s="81"/>
      <c r="H5" s="81"/>
      <c r="I5" s="81"/>
      <c r="J5" s="81"/>
      <c r="K5" s="81"/>
      <c r="L5" s="81"/>
    </row>
    <row r="6" spans="1:12" ht="18.600000000000001" customHeight="1" x14ac:dyDescent="0.25">
      <c r="A6" s="63"/>
      <c r="B6" s="63"/>
      <c r="C6" s="63"/>
      <c r="D6" s="63"/>
      <c r="E6" s="61"/>
      <c r="F6" s="61"/>
      <c r="G6" s="61"/>
      <c r="H6" s="54"/>
      <c r="I6" s="61"/>
      <c r="J6" s="61"/>
      <c r="K6" s="61"/>
      <c r="L6" s="61"/>
    </row>
    <row r="7" spans="1:12" ht="69" customHeight="1" x14ac:dyDescent="0.25">
      <c r="A7" s="24" t="s">
        <v>0</v>
      </c>
      <c r="B7" s="32" t="s">
        <v>17</v>
      </c>
      <c r="C7" s="32" t="s">
        <v>21</v>
      </c>
      <c r="D7" s="32" t="s">
        <v>22</v>
      </c>
      <c r="E7" s="32" t="s">
        <v>23</v>
      </c>
      <c r="F7" s="32" t="s">
        <v>30</v>
      </c>
      <c r="G7" s="33" t="s">
        <v>24</v>
      </c>
      <c r="H7" s="33" t="s">
        <v>28</v>
      </c>
      <c r="I7" s="32" t="s">
        <v>25</v>
      </c>
      <c r="J7" s="32" t="s">
        <v>26</v>
      </c>
      <c r="K7" s="60" t="s">
        <v>29</v>
      </c>
      <c r="L7" s="30" t="s">
        <v>41</v>
      </c>
    </row>
    <row r="8" spans="1:12" ht="27" customHeight="1" x14ac:dyDescent="0.25">
      <c r="A8" s="85">
        <v>1</v>
      </c>
      <c r="B8" s="85" t="s">
        <v>76</v>
      </c>
      <c r="C8" s="71" t="s">
        <v>80</v>
      </c>
      <c r="D8" s="71" t="s">
        <v>81</v>
      </c>
      <c r="E8" s="71" t="s">
        <v>82</v>
      </c>
      <c r="F8" s="72">
        <f>10*5</f>
        <v>50</v>
      </c>
      <c r="G8" s="73">
        <v>988.83</v>
      </c>
      <c r="H8" s="75">
        <f>G8/F8</f>
        <v>19.776600000000002</v>
      </c>
      <c r="I8" s="74" t="s">
        <v>146</v>
      </c>
      <c r="J8" s="66" t="s">
        <v>147</v>
      </c>
      <c r="K8" s="82">
        <v>11.87</v>
      </c>
      <c r="L8" s="59"/>
    </row>
    <row r="9" spans="1:12" ht="29.25" customHeight="1" x14ac:dyDescent="0.25">
      <c r="A9" s="85"/>
      <c r="B9" s="85"/>
      <c r="C9" s="71" t="s">
        <v>80</v>
      </c>
      <c r="D9" s="71" t="s">
        <v>83</v>
      </c>
      <c r="E9" s="71" t="s">
        <v>82</v>
      </c>
      <c r="F9" s="72">
        <f>20*5</f>
        <v>100</v>
      </c>
      <c r="G9" s="77">
        <v>1186.94</v>
      </c>
      <c r="H9" s="76">
        <f t="shared" ref="H9:H72" si="0">G9/F9</f>
        <v>11.869400000000001</v>
      </c>
      <c r="I9" s="74" t="s">
        <v>146</v>
      </c>
      <c r="J9" s="66" t="s">
        <v>147</v>
      </c>
      <c r="K9" s="82"/>
      <c r="L9" s="59"/>
    </row>
    <row r="10" spans="1:12" ht="34.5" customHeight="1" x14ac:dyDescent="0.25">
      <c r="A10" s="85"/>
      <c r="B10" s="85"/>
      <c r="C10" s="71" t="s">
        <v>84</v>
      </c>
      <c r="D10" s="71" t="s">
        <v>85</v>
      </c>
      <c r="E10" s="71" t="s">
        <v>86</v>
      </c>
      <c r="F10" s="72">
        <f>10*10</f>
        <v>100</v>
      </c>
      <c r="G10" s="73">
        <v>1830</v>
      </c>
      <c r="H10" s="75">
        <f t="shared" si="0"/>
        <v>18.3</v>
      </c>
      <c r="I10" s="74" t="s">
        <v>148</v>
      </c>
      <c r="J10" s="66" t="s">
        <v>147</v>
      </c>
      <c r="K10" s="82"/>
      <c r="L10" s="59"/>
    </row>
    <row r="11" spans="1:12" ht="30" customHeight="1" x14ac:dyDescent="0.25">
      <c r="A11" s="85"/>
      <c r="B11" s="85"/>
      <c r="C11" s="71" t="s">
        <v>84</v>
      </c>
      <c r="D11" s="71" t="s">
        <v>81</v>
      </c>
      <c r="E11" s="71" t="s">
        <v>86</v>
      </c>
      <c r="F11" s="72">
        <f t="shared" ref="F11:F17" si="1">10*5</f>
        <v>50</v>
      </c>
      <c r="G11" s="73">
        <v>915</v>
      </c>
      <c r="H11" s="75">
        <f t="shared" si="0"/>
        <v>18.3</v>
      </c>
      <c r="I11" s="74" t="s">
        <v>148</v>
      </c>
      <c r="J11" s="66" t="s">
        <v>147</v>
      </c>
      <c r="K11" s="82"/>
      <c r="L11" s="59"/>
    </row>
    <row r="12" spans="1:12" ht="30.75" customHeight="1" x14ac:dyDescent="0.25">
      <c r="A12" s="85"/>
      <c r="B12" s="85"/>
      <c r="C12" s="71" t="s">
        <v>76</v>
      </c>
      <c r="D12" s="71" t="s">
        <v>81</v>
      </c>
      <c r="E12" s="71" t="s">
        <v>87</v>
      </c>
      <c r="F12" s="72">
        <f t="shared" si="1"/>
        <v>50</v>
      </c>
      <c r="G12" s="73">
        <v>917.16</v>
      </c>
      <c r="H12" s="75">
        <f t="shared" si="0"/>
        <v>18.3432</v>
      </c>
      <c r="I12" s="74" t="s">
        <v>149</v>
      </c>
      <c r="J12" s="66" t="s">
        <v>150</v>
      </c>
      <c r="K12" s="82"/>
      <c r="L12" s="59"/>
    </row>
    <row r="13" spans="1:12" ht="30" customHeight="1" x14ac:dyDescent="0.25">
      <c r="A13" s="85"/>
      <c r="B13" s="85"/>
      <c r="C13" s="71" t="s">
        <v>76</v>
      </c>
      <c r="D13" s="71" t="s">
        <v>81</v>
      </c>
      <c r="E13" s="71" t="s">
        <v>87</v>
      </c>
      <c r="F13" s="72">
        <f t="shared" si="1"/>
        <v>50</v>
      </c>
      <c r="G13" s="73">
        <v>948.34</v>
      </c>
      <c r="H13" s="75">
        <f t="shared" si="0"/>
        <v>18.966799999999999</v>
      </c>
      <c r="I13" s="74" t="s">
        <v>149</v>
      </c>
      <c r="J13" s="66" t="s">
        <v>151</v>
      </c>
      <c r="K13" s="82"/>
      <c r="L13" s="59"/>
    </row>
    <row r="14" spans="1:12" ht="30" customHeight="1" x14ac:dyDescent="0.25">
      <c r="A14" s="85"/>
      <c r="B14" s="85"/>
      <c r="C14" s="71" t="s">
        <v>84</v>
      </c>
      <c r="D14" s="71" t="s">
        <v>81</v>
      </c>
      <c r="E14" s="71" t="s">
        <v>86</v>
      </c>
      <c r="F14" s="72">
        <f t="shared" si="1"/>
        <v>50</v>
      </c>
      <c r="G14" s="73">
        <v>915</v>
      </c>
      <c r="H14" s="75">
        <f t="shared" si="0"/>
        <v>18.3</v>
      </c>
      <c r="I14" s="74" t="s">
        <v>152</v>
      </c>
      <c r="J14" s="66" t="s">
        <v>153</v>
      </c>
      <c r="K14" s="82"/>
      <c r="L14" s="59"/>
    </row>
    <row r="15" spans="1:12" ht="30" customHeight="1" x14ac:dyDescent="0.25">
      <c r="A15" s="85"/>
      <c r="B15" s="85"/>
      <c r="C15" s="71" t="s">
        <v>88</v>
      </c>
      <c r="D15" s="71" t="s">
        <v>89</v>
      </c>
      <c r="E15" s="71" t="s">
        <v>90</v>
      </c>
      <c r="F15" s="72">
        <f t="shared" si="1"/>
        <v>50</v>
      </c>
      <c r="G15" s="73">
        <v>917.18</v>
      </c>
      <c r="H15" s="75">
        <f t="shared" si="0"/>
        <v>18.343599999999999</v>
      </c>
      <c r="I15" s="74" t="s">
        <v>154</v>
      </c>
      <c r="J15" s="66" t="s">
        <v>155</v>
      </c>
      <c r="K15" s="82"/>
      <c r="L15" s="59"/>
    </row>
    <row r="16" spans="1:12" ht="30" customHeight="1" x14ac:dyDescent="0.25">
      <c r="A16" s="85"/>
      <c r="B16" s="85"/>
      <c r="C16" s="71" t="s">
        <v>76</v>
      </c>
      <c r="D16" s="71" t="s">
        <v>81</v>
      </c>
      <c r="E16" s="71" t="s">
        <v>91</v>
      </c>
      <c r="F16" s="72">
        <f t="shared" si="1"/>
        <v>50</v>
      </c>
      <c r="G16" s="73">
        <v>992.25</v>
      </c>
      <c r="H16" s="75">
        <f t="shared" si="0"/>
        <v>19.844999999999999</v>
      </c>
      <c r="I16" s="74" t="s">
        <v>156</v>
      </c>
      <c r="J16" s="66" t="s">
        <v>157</v>
      </c>
      <c r="K16" s="82"/>
      <c r="L16" s="59"/>
    </row>
    <row r="17" spans="1:12" ht="30" customHeight="1" x14ac:dyDescent="0.25">
      <c r="A17" s="85"/>
      <c r="B17" s="85"/>
      <c r="C17" s="71" t="s">
        <v>76</v>
      </c>
      <c r="D17" s="71" t="s">
        <v>92</v>
      </c>
      <c r="E17" s="71" t="s">
        <v>93</v>
      </c>
      <c r="F17" s="72">
        <f t="shared" si="1"/>
        <v>50</v>
      </c>
      <c r="G17" s="73">
        <v>952.18</v>
      </c>
      <c r="H17" s="75">
        <f t="shared" si="0"/>
        <v>19.043599999999998</v>
      </c>
      <c r="I17" s="74" t="s">
        <v>158</v>
      </c>
      <c r="J17" s="66" t="s">
        <v>159</v>
      </c>
      <c r="K17" s="82"/>
      <c r="L17" s="59"/>
    </row>
    <row r="18" spans="1:12" ht="30" customHeight="1" x14ac:dyDescent="0.25">
      <c r="A18" s="85"/>
      <c r="B18" s="85"/>
      <c r="C18" s="71" t="s">
        <v>76</v>
      </c>
      <c r="D18" s="71" t="s">
        <v>94</v>
      </c>
      <c r="E18" s="71" t="s">
        <v>93</v>
      </c>
      <c r="F18" s="72">
        <f>5*10</f>
        <v>50</v>
      </c>
      <c r="G18" s="73">
        <v>952.18</v>
      </c>
      <c r="H18" s="75">
        <f t="shared" si="0"/>
        <v>19.043599999999998</v>
      </c>
      <c r="I18" s="74" t="s">
        <v>158</v>
      </c>
      <c r="J18" s="66" t="s">
        <v>159</v>
      </c>
      <c r="K18" s="82"/>
      <c r="L18" s="59"/>
    </row>
    <row r="19" spans="1:12" ht="25.5" customHeight="1" x14ac:dyDescent="0.25">
      <c r="A19" s="85"/>
      <c r="B19" s="85"/>
      <c r="C19" s="71" t="s">
        <v>95</v>
      </c>
      <c r="D19" s="71" t="s">
        <v>89</v>
      </c>
      <c r="E19" s="71" t="s">
        <v>96</v>
      </c>
      <c r="F19" s="72">
        <f>10*5</f>
        <v>50</v>
      </c>
      <c r="G19" s="73">
        <v>917.72</v>
      </c>
      <c r="H19" s="75">
        <f t="shared" si="0"/>
        <v>18.354400000000002</v>
      </c>
      <c r="I19" s="74" t="s">
        <v>160</v>
      </c>
      <c r="J19" s="66" t="s">
        <v>161</v>
      </c>
      <c r="K19" s="82"/>
      <c r="L19" s="59"/>
    </row>
    <row r="20" spans="1:12" ht="30.75" customHeight="1" x14ac:dyDescent="0.25">
      <c r="A20" s="85"/>
      <c r="B20" s="85"/>
      <c r="C20" s="71" t="s">
        <v>76</v>
      </c>
      <c r="D20" s="71" t="s">
        <v>81</v>
      </c>
      <c r="E20" s="71" t="s">
        <v>97</v>
      </c>
      <c r="F20" s="72">
        <f>10*5</f>
        <v>50</v>
      </c>
      <c r="G20" s="73">
        <v>898.5</v>
      </c>
      <c r="H20" s="75">
        <f t="shared" si="0"/>
        <v>17.97</v>
      </c>
      <c r="I20" s="74" t="s">
        <v>162</v>
      </c>
      <c r="J20" s="66" t="s">
        <v>163</v>
      </c>
      <c r="K20" s="82"/>
      <c r="L20" s="59"/>
    </row>
    <row r="21" spans="1:12" ht="31.5" customHeight="1" x14ac:dyDescent="0.25">
      <c r="A21" s="85"/>
      <c r="B21" s="85"/>
      <c r="C21" s="71" t="s">
        <v>76</v>
      </c>
      <c r="D21" s="71" t="s">
        <v>85</v>
      </c>
      <c r="E21" s="71" t="s">
        <v>97</v>
      </c>
      <c r="F21" s="72">
        <f>10*10</f>
        <v>100</v>
      </c>
      <c r="G21" s="73">
        <v>1797</v>
      </c>
      <c r="H21" s="75">
        <f t="shared" si="0"/>
        <v>17.97</v>
      </c>
      <c r="I21" s="74" t="s">
        <v>162</v>
      </c>
      <c r="J21" s="66" t="s">
        <v>163</v>
      </c>
      <c r="K21" s="82"/>
      <c r="L21" s="59"/>
    </row>
    <row r="22" spans="1:12" ht="30" customHeight="1" x14ac:dyDescent="0.25">
      <c r="A22" s="85"/>
      <c r="B22" s="85"/>
      <c r="C22" s="71" t="s">
        <v>76</v>
      </c>
      <c r="D22" s="71" t="s">
        <v>98</v>
      </c>
      <c r="E22" s="71" t="s">
        <v>97</v>
      </c>
      <c r="F22" s="72">
        <f>10*25</f>
        <v>250</v>
      </c>
      <c r="G22" s="73">
        <v>4492.5</v>
      </c>
      <c r="H22" s="75">
        <f t="shared" si="0"/>
        <v>17.97</v>
      </c>
      <c r="I22" s="74" t="s">
        <v>162</v>
      </c>
      <c r="J22" s="66" t="s">
        <v>163</v>
      </c>
      <c r="K22" s="82"/>
      <c r="L22" s="59"/>
    </row>
    <row r="23" spans="1:12" ht="30" customHeight="1" x14ac:dyDescent="0.25">
      <c r="A23" s="85"/>
      <c r="B23" s="85"/>
      <c r="C23" s="71" t="s">
        <v>99</v>
      </c>
      <c r="D23" s="71" t="s">
        <v>89</v>
      </c>
      <c r="E23" s="71" t="s">
        <v>100</v>
      </c>
      <c r="F23" s="72">
        <f>10*5</f>
        <v>50</v>
      </c>
      <c r="G23" s="73">
        <v>916.4</v>
      </c>
      <c r="H23" s="75">
        <f t="shared" si="0"/>
        <v>18.327999999999999</v>
      </c>
      <c r="I23" s="74" t="s">
        <v>164</v>
      </c>
      <c r="J23" s="66" t="s">
        <v>165</v>
      </c>
      <c r="K23" s="82"/>
      <c r="L23" s="59"/>
    </row>
    <row r="24" spans="1:12" ht="30" customHeight="1" x14ac:dyDescent="0.25">
      <c r="A24" s="85"/>
      <c r="B24" s="85"/>
      <c r="C24" s="71" t="s">
        <v>80</v>
      </c>
      <c r="D24" s="71" t="s">
        <v>81</v>
      </c>
      <c r="E24" s="71" t="s">
        <v>101</v>
      </c>
      <c r="F24" s="72">
        <f>10*5</f>
        <v>50</v>
      </c>
      <c r="G24" s="73">
        <v>988.83</v>
      </c>
      <c r="H24" s="75">
        <f t="shared" si="0"/>
        <v>19.776600000000002</v>
      </c>
      <c r="I24" s="74" t="s">
        <v>146</v>
      </c>
      <c r="J24" s="66" t="s">
        <v>166</v>
      </c>
      <c r="K24" s="82"/>
      <c r="L24" s="59"/>
    </row>
    <row r="25" spans="1:12" ht="30" x14ac:dyDescent="0.25">
      <c r="A25" s="85"/>
      <c r="B25" s="85"/>
      <c r="C25" s="71" t="s">
        <v>80</v>
      </c>
      <c r="D25" s="71" t="s">
        <v>83</v>
      </c>
      <c r="E25" s="71" t="s">
        <v>101</v>
      </c>
      <c r="F25" s="72">
        <f>20*5</f>
        <v>100</v>
      </c>
      <c r="G25" s="77">
        <v>1186.94</v>
      </c>
      <c r="H25" s="76">
        <f t="shared" si="0"/>
        <v>11.869400000000001</v>
      </c>
      <c r="I25" s="74" t="s">
        <v>146</v>
      </c>
      <c r="J25" s="66" t="s">
        <v>166</v>
      </c>
      <c r="K25" s="82"/>
      <c r="L25" s="65"/>
    </row>
    <row r="26" spans="1:12" ht="30" x14ac:dyDescent="0.25">
      <c r="A26" s="85"/>
      <c r="B26" s="85"/>
      <c r="C26" s="71" t="s">
        <v>76</v>
      </c>
      <c r="D26" s="71" t="s">
        <v>92</v>
      </c>
      <c r="E26" s="71" t="s">
        <v>102</v>
      </c>
      <c r="F26" s="72">
        <f>10*5</f>
        <v>50</v>
      </c>
      <c r="G26" s="73">
        <v>917.18</v>
      </c>
      <c r="H26" s="75">
        <f t="shared" si="0"/>
        <v>18.343599999999999</v>
      </c>
      <c r="I26" s="74" t="s">
        <v>167</v>
      </c>
      <c r="J26" s="66" t="s">
        <v>168</v>
      </c>
      <c r="K26" s="82"/>
      <c r="L26" s="65"/>
    </row>
    <row r="27" spans="1:12" ht="30" x14ac:dyDescent="0.25">
      <c r="A27" s="85"/>
      <c r="B27" s="85"/>
      <c r="C27" s="71" t="s">
        <v>76</v>
      </c>
      <c r="D27" s="71" t="s">
        <v>103</v>
      </c>
      <c r="E27" s="71" t="s">
        <v>102</v>
      </c>
      <c r="F27" s="72">
        <f>10*10</f>
        <v>100</v>
      </c>
      <c r="G27" s="73">
        <v>1834.37</v>
      </c>
      <c r="H27" s="75">
        <f t="shared" si="0"/>
        <v>18.343699999999998</v>
      </c>
      <c r="I27" s="74" t="s">
        <v>167</v>
      </c>
      <c r="J27" s="66" t="s">
        <v>168</v>
      </c>
      <c r="K27" s="82"/>
      <c r="L27" s="65"/>
    </row>
    <row r="28" spans="1:12" ht="45" x14ac:dyDescent="0.25">
      <c r="A28" s="85"/>
      <c r="B28" s="85"/>
      <c r="C28" s="71" t="s">
        <v>99</v>
      </c>
      <c r="D28" s="71" t="s">
        <v>89</v>
      </c>
      <c r="E28" s="71" t="s">
        <v>100</v>
      </c>
      <c r="F28" s="72">
        <f>10*5</f>
        <v>50</v>
      </c>
      <c r="G28" s="73">
        <v>916.4</v>
      </c>
      <c r="H28" s="75">
        <f t="shared" si="0"/>
        <v>18.327999999999999</v>
      </c>
      <c r="I28" s="74" t="s">
        <v>169</v>
      </c>
      <c r="J28" s="66" t="s">
        <v>170</v>
      </c>
      <c r="K28" s="82"/>
      <c r="L28" s="65"/>
    </row>
    <row r="29" spans="1:12" ht="30" x14ac:dyDescent="0.25">
      <c r="A29" s="85"/>
      <c r="B29" s="85"/>
      <c r="C29" s="71" t="s">
        <v>76</v>
      </c>
      <c r="D29" s="71" t="s">
        <v>81</v>
      </c>
      <c r="E29" s="71" t="s">
        <v>104</v>
      </c>
      <c r="F29" s="72">
        <f>10*5</f>
        <v>50</v>
      </c>
      <c r="G29" s="73">
        <v>917.18</v>
      </c>
      <c r="H29" s="75">
        <f t="shared" si="0"/>
        <v>18.343599999999999</v>
      </c>
      <c r="I29" s="74" t="s">
        <v>171</v>
      </c>
      <c r="J29" s="66" t="s">
        <v>172</v>
      </c>
      <c r="K29" s="82"/>
      <c r="L29" s="65"/>
    </row>
    <row r="30" spans="1:12" ht="45" x14ac:dyDescent="0.25">
      <c r="A30" s="85"/>
      <c r="B30" s="85"/>
      <c r="C30" s="71" t="s">
        <v>76</v>
      </c>
      <c r="D30" s="71" t="s">
        <v>105</v>
      </c>
      <c r="E30" s="71" t="s">
        <v>93</v>
      </c>
      <c r="F30" s="72">
        <f>5*5</f>
        <v>25</v>
      </c>
      <c r="G30" s="73">
        <v>458.5</v>
      </c>
      <c r="H30" s="75">
        <f t="shared" si="0"/>
        <v>18.34</v>
      </c>
      <c r="I30" s="74" t="s">
        <v>173</v>
      </c>
      <c r="J30" s="66" t="s">
        <v>174</v>
      </c>
      <c r="K30" s="82"/>
      <c r="L30" s="65"/>
    </row>
    <row r="31" spans="1:12" ht="45" x14ac:dyDescent="0.25">
      <c r="A31" s="85"/>
      <c r="B31" s="85"/>
      <c r="C31" s="71" t="s">
        <v>76</v>
      </c>
      <c r="D31" s="71" t="s">
        <v>94</v>
      </c>
      <c r="E31" s="71" t="s">
        <v>93</v>
      </c>
      <c r="F31" s="72">
        <f>5*10</f>
        <v>50</v>
      </c>
      <c r="G31" s="73">
        <v>952.18</v>
      </c>
      <c r="H31" s="75">
        <f t="shared" si="0"/>
        <v>19.043599999999998</v>
      </c>
      <c r="I31" s="74" t="s">
        <v>173</v>
      </c>
      <c r="J31" s="66" t="s">
        <v>174</v>
      </c>
      <c r="K31" s="82"/>
      <c r="L31" s="65"/>
    </row>
    <row r="32" spans="1:12" ht="45" x14ac:dyDescent="0.25">
      <c r="A32" s="85"/>
      <c r="B32" s="85"/>
      <c r="C32" s="71" t="s">
        <v>76</v>
      </c>
      <c r="D32" s="71" t="s">
        <v>106</v>
      </c>
      <c r="E32" s="71" t="s">
        <v>93</v>
      </c>
      <c r="F32" s="72">
        <f>10*1</f>
        <v>10</v>
      </c>
      <c r="G32" s="73">
        <v>183.4</v>
      </c>
      <c r="H32" s="75">
        <f t="shared" si="0"/>
        <v>18.34</v>
      </c>
      <c r="I32" s="74" t="s">
        <v>173</v>
      </c>
      <c r="J32" s="66" t="s">
        <v>174</v>
      </c>
      <c r="K32" s="82"/>
      <c r="L32" s="65"/>
    </row>
    <row r="33" spans="1:12" ht="45" x14ac:dyDescent="0.25">
      <c r="A33" s="85"/>
      <c r="B33" s="85"/>
      <c r="C33" s="71" t="s">
        <v>76</v>
      </c>
      <c r="D33" s="71" t="s">
        <v>107</v>
      </c>
      <c r="E33" s="71" t="s">
        <v>93</v>
      </c>
      <c r="F33" s="72">
        <f>20*1</f>
        <v>20</v>
      </c>
      <c r="G33" s="73">
        <v>366.8</v>
      </c>
      <c r="H33" s="75">
        <f t="shared" si="0"/>
        <v>18.34</v>
      </c>
      <c r="I33" s="74" t="s">
        <v>173</v>
      </c>
      <c r="J33" s="66" t="s">
        <v>174</v>
      </c>
      <c r="K33" s="82"/>
      <c r="L33" s="65"/>
    </row>
    <row r="34" spans="1:12" ht="45" x14ac:dyDescent="0.25">
      <c r="A34" s="85"/>
      <c r="B34" s="85"/>
      <c r="C34" s="71" t="s">
        <v>76</v>
      </c>
      <c r="D34" s="71" t="s">
        <v>92</v>
      </c>
      <c r="E34" s="71" t="s">
        <v>93</v>
      </c>
      <c r="F34" s="72">
        <f>10*5</f>
        <v>50</v>
      </c>
      <c r="G34" s="73">
        <v>952.18</v>
      </c>
      <c r="H34" s="75">
        <f t="shared" si="0"/>
        <v>19.043599999999998</v>
      </c>
      <c r="I34" s="74" t="s">
        <v>173</v>
      </c>
      <c r="J34" s="66" t="s">
        <v>174</v>
      </c>
      <c r="K34" s="82"/>
      <c r="L34" s="65"/>
    </row>
    <row r="35" spans="1:12" ht="45" x14ac:dyDescent="0.25">
      <c r="A35" s="85"/>
      <c r="B35" s="85"/>
      <c r="C35" s="71" t="s">
        <v>76</v>
      </c>
      <c r="D35" s="71" t="s">
        <v>108</v>
      </c>
      <c r="E35" s="71" t="s">
        <v>93</v>
      </c>
      <c r="F35" s="72">
        <f>20*5</f>
        <v>100</v>
      </c>
      <c r="G35" s="73">
        <v>1834.3</v>
      </c>
      <c r="H35" s="75">
        <f t="shared" si="0"/>
        <v>18.343</v>
      </c>
      <c r="I35" s="74" t="s">
        <v>173</v>
      </c>
      <c r="J35" s="66" t="s">
        <v>174</v>
      </c>
      <c r="K35" s="82"/>
      <c r="L35" s="65"/>
    </row>
    <row r="36" spans="1:12" ht="45" x14ac:dyDescent="0.25">
      <c r="A36" s="85"/>
      <c r="B36" s="85"/>
      <c r="C36" s="71" t="s">
        <v>88</v>
      </c>
      <c r="D36" s="71" t="s">
        <v>89</v>
      </c>
      <c r="E36" s="71" t="s">
        <v>109</v>
      </c>
      <c r="F36" s="72">
        <f>10*5</f>
        <v>50</v>
      </c>
      <c r="G36" s="73">
        <v>917.18</v>
      </c>
      <c r="H36" s="75">
        <f t="shared" si="0"/>
        <v>18.343599999999999</v>
      </c>
      <c r="I36" s="74" t="s">
        <v>154</v>
      </c>
      <c r="J36" s="66" t="s">
        <v>175</v>
      </c>
      <c r="K36" s="82"/>
      <c r="L36" s="65"/>
    </row>
    <row r="37" spans="1:12" ht="30" x14ac:dyDescent="0.25">
      <c r="A37" s="85"/>
      <c r="B37" s="85"/>
      <c r="C37" s="71" t="s">
        <v>95</v>
      </c>
      <c r="D37" s="71" t="s">
        <v>92</v>
      </c>
      <c r="E37" s="71" t="s">
        <v>110</v>
      </c>
      <c r="F37" s="72">
        <f>10*5</f>
        <v>50</v>
      </c>
      <c r="G37" s="73">
        <v>917.72</v>
      </c>
      <c r="H37" s="75">
        <f t="shared" si="0"/>
        <v>18.354400000000002</v>
      </c>
      <c r="I37" s="74" t="s">
        <v>160</v>
      </c>
      <c r="J37" s="66" t="s">
        <v>176</v>
      </c>
      <c r="K37" s="82"/>
      <c r="L37" s="65"/>
    </row>
    <row r="38" spans="1:12" ht="30" x14ac:dyDescent="0.25">
      <c r="A38" s="85"/>
      <c r="B38" s="85"/>
      <c r="C38" s="71" t="s">
        <v>95</v>
      </c>
      <c r="D38" s="71" t="s">
        <v>92</v>
      </c>
      <c r="E38" s="71" t="s">
        <v>110</v>
      </c>
      <c r="F38" s="72">
        <f>10*5</f>
        <v>50</v>
      </c>
      <c r="G38" s="73">
        <v>917.72</v>
      </c>
      <c r="H38" s="75">
        <f t="shared" si="0"/>
        <v>18.354400000000002</v>
      </c>
      <c r="I38" s="74" t="s">
        <v>160</v>
      </c>
      <c r="J38" s="66" t="s">
        <v>176</v>
      </c>
      <c r="K38" s="82"/>
      <c r="L38" s="65"/>
    </row>
    <row r="39" spans="1:12" ht="30" x14ac:dyDescent="0.25">
      <c r="A39" s="85"/>
      <c r="B39" s="85"/>
      <c r="C39" s="71" t="s">
        <v>76</v>
      </c>
      <c r="D39" s="71" t="s">
        <v>81</v>
      </c>
      <c r="E39" s="71" t="s">
        <v>111</v>
      </c>
      <c r="F39" s="72">
        <f>10*5</f>
        <v>50</v>
      </c>
      <c r="G39" s="73">
        <v>917.18</v>
      </c>
      <c r="H39" s="75">
        <f t="shared" si="0"/>
        <v>18.343599999999999</v>
      </c>
      <c r="I39" s="74" t="s">
        <v>177</v>
      </c>
      <c r="J39" s="66" t="s">
        <v>178</v>
      </c>
      <c r="K39" s="82"/>
      <c r="L39" s="65"/>
    </row>
    <row r="40" spans="1:12" ht="30" x14ac:dyDescent="0.25">
      <c r="A40" s="85"/>
      <c r="B40" s="85"/>
      <c r="C40" s="71" t="s">
        <v>76</v>
      </c>
      <c r="D40" s="71" t="s">
        <v>83</v>
      </c>
      <c r="E40" s="71" t="s">
        <v>111</v>
      </c>
      <c r="F40" s="72">
        <f>20*5</f>
        <v>100</v>
      </c>
      <c r="G40" s="73">
        <v>1834.37</v>
      </c>
      <c r="H40" s="75">
        <f t="shared" si="0"/>
        <v>18.343699999999998</v>
      </c>
      <c r="I40" s="74" t="s">
        <v>177</v>
      </c>
      <c r="J40" s="66" t="s">
        <v>178</v>
      </c>
      <c r="K40" s="82"/>
      <c r="L40" s="65"/>
    </row>
    <row r="41" spans="1:12" ht="30" x14ac:dyDescent="0.25">
      <c r="A41" s="85"/>
      <c r="B41" s="85"/>
      <c r="C41" s="71" t="s">
        <v>76</v>
      </c>
      <c r="D41" s="71" t="s">
        <v>85</v>
      </c>
      <c r="E41" s="71" t="s">
        <v>111</v>
      </c>
      <c r="F41" s="72">
        <f>10*10</f>
        <v>100</v>
      </c>
      <c r="G41" s="73">
        <v>1834.37</v>
      </c>
      <c r="H41" s="75">
        <f t="shared" si="0"/>
        <v>18.343699999999998</v>
      </c>
      <c r="I41" s="74" t="s">
        <v>177</v>
      </c>
      <c r="J41" s="66" t="s">
        <v>178</v>
      </c>
      <c r="K41" s="82"/>
      <c r="L41" s="65"/>
    </row>
    <row r="42" spans="1:12" ht="30" x14ac:dyDescent="0.25">
      <c r="A42" s="85"/>
      <c r="B42" s="85"/>
      <c r="C42" s="71" t="s">
        <v>76</v>
      </c>
      <c r="D42" s="71" t="s">
        <v>112</v>
      </c>
      <c r="E42" s="71" t="s">
        <v>111</v>
      </c>
      <c r="F42" s="72">
        <f>20*10</f>
        <v>200</v>
      </c>
      <c r="G42" s="73">
        <v>3668.74</v>
      </c>
      <c r="H42" s="75">
        <f t="shared" si="0"/>
        <v>18.343699999999998</v>
      </c>
      <c r="I42" s="74" t="s">
        <v>177</v>
      </c>
      <c r="J42" s="66" t="s">
        <v>178</v>
      </c>
      <c r="K42" s="82"/>
      <c r="L42" s="65"/>
    </row>
    <row r="43" spans="1:12" ht="30" x14ac:dyDescent="0.25">
      <c r="A43" s="85"/>
      <c r="B43" s="85"/>
      <c r="C43" s="71" t="s">
        <v>76</v>
      </c>
      <c r="D43" s="71" t="s">
        <v>81</v>
      </c>
      <c r="E43" s="71" t="s">
        <v>113</v>
      </c>
      <c r="F43" s="72">
        <f>10*5</f>
        <v>50</v>
      </c>
      <c r="G43" s="73">
        <v>1030.45</v>
      </c>
      <c r="H43" s="75">
        <f t="shared" si="0"/>
        <v>20.609000000000002</v>
      </c>
      <c r="I43" s="74" t="s">
        <v>156</v>
      </c>
      <c r="J43" s="66" t="s">
        <v>179</v>
      </c>
      <c r="K43" s="82"/>
      <c r="L43" s="65"/>
    </row>
    <row r="44" spans="1:12" ht="45" x14ac:dyDescent="0.25">
      <c r="A44" s="85"/>
      <c r="B44" s="85"/>
      <c r="C44" s="71" t="s">
        <v>76</v>
      </c>
      <c r="D44" s="71" t="s">
        <v>114</v>
      </c>
      <c r="E44" s="71" t="s">
        <v>115</v>
      </c>
      <c r="F44" s="72">
        <f>5*3</f>
        <v>15</v>
      </c>
      <c r="G44" s="73">
        <v>302.2</v>
      </c>
      <c r="H44" s="75">
        <f t="shared" si="0"/>
        <v>20.146666666666665</v>
      </c>
      <c r="I44" s="74" t="s">
        <v>180</v>
      </c>
      <c r="J44" s="66" t="s">
        <v>181</v>
      </c>
      <c r="K44" s="82"/>
      <c r="L44" s="65"/>
    </row>
    <row r="45" spans="1:12" ht="45" x14ac:dyDescent="0.25">
      <c r="A45" s="85"/>
      <c r="B45" s="85"/>
      <c r="C45" s="71" t="s">
        <v>76</v>
      </c>
      <c r="D45" s="71" t="s">
        <v>116</v>
      </c>
      <c r="E45" s="71" t="s">
        <v>115</v>
      </c>
      <c r="F45" s="72">
        <f>5*5</f>
        <v>25</v>
      </c>
      <c r="G45" s="73">
        <v>503.67</v>
      </c>
      <c r="H45" s="75">
        <f t="shared" si="0"/>
        <v>20.146799999999999</v>
      </c>
      <c r="I45" s="74" t="s">
        <v>180</v>
      </c>
      <c r="J45" s="66" t="s">
        <v>181</v>
      </c>
      <c r="K45" s="82"/>
      <c r="L45" s="65"/>
    </row>
    <row r="46" spans="1:12" ht="45" x14ac:dyDescent="0.25">
      <c r="A46" s="85"/>
      <c r="B46" s="85"/>
      <c r="C46" s="71" t="s">
        <v>76</v>
      </c>
      <c r="D46" s="71" t="s">
        <v>117</v>
      </c>
      <c r="E46" s="71" t="s">
        <v>115</v>
      </c>
      <c r="F46" s="72">
        <f>5*10</f>
        <v>50</v>
      </c>
      <c r="G46" s="73">
        <v>1018.76</v>
      </c>
      <c r="H46" s="75">
        <f t="shared" si="0"/>
        <v>20.3752</v>
      </c>
      <c r="I46" s="74" t="s">
        <v>180</v>
      </c>
      <c r="J46" s="66" t="s">
        <v>181</v>
      </c>
      <c r="K46" s="82"/>
      <c r="L46" s="65"/>
    </row>
    <row r="47" spans="1:12" ht="45" x14ac:dyDescent="0.25">
      <c r="A47" s="85"/>
      <c r="B47" s="85"/>
      <c r="C47" s="71" t="s">
        <v>76</v>
      </c>
      <c r="D47" s="71" t="s">
        <v>118</v>
      </c>
      <c r="E47" s="71" t="s">
        <v>115</v>
      </c>
      <c r="F47" s="72">
        <f>5*10</f>
        <v>50</v>
      </c>
      <c r="G47" s="73">
        <v>1018.76</v>
      </c>
      <c r="H47" s="75">
        <f t="shared" si="0"/>
        <v>20.3752</v>
      </c>
      <c r="I47" s="74" t="s">
        <v>180</v>
      </c>
      <c r="J47" s="66" t="s">
        <v>181</v>
      </c>
      <c r="K47" s="82"/>
      <c r="L47" s="65"/>
    </row>
    <row r="48" spans="1:12" ht="45" x14ac:dyDescent="0.25">
      <c r="A48" s="85"/>
      <c r="B48" s="85"/>
      <c r="C48" s="71" t="s">
        <v>76</v>
      </c>
      <c r="D48" s="71" t="s">
        <v>119</v>
      </c>
      <c r="E48" s="71" t="s">
        <v>115</v>
      </c>
      <c r="F48" s="72">
        <f>5*20</f>
        <v>100</v>
      </c>
      <c r="G48" s="73">
        <v>2025.29</v>
      </c>
      <c r="H48" s="75">
        <f t="shared" si="0"/>
        <v>20.2529</v>
      </c>
      <c r="I48" s="74" t="s">
        <v>180</v>
      </c>
      <c r="J48" s="66" t="s">
        <v>181</v>
      </c>
      <c r="K48" s="82"/>
      <c r="L48" s="65"/>
    </row>
    <row r="49" spans="1:12" ht="45" x14ac:dyDescent="0.25">
      <c r="A49" s="85"/>
      <c r="B49" s="85"/>
      <c r="C49" s="71" t="s">
        <v>76</v>
      </c>
      <c r="D49" s="71" t="s">
        <v>120</v>
      </c>
      <c r="E49" s="71" t="s">
        <v>115</v>
      </c>
      <c r="F49" s="72">
        <f>5*20</f>
        <v>100</v>
      </c>
      <c r="G49" s="73">
        <v>2025.29</v>
      </c>
      <c r="H49" s="75">
        <f t="shared" si="0"/>
        <v>20.2529</v>
      </c>
      <c r="I49" s="74" t="s">
        <v>180</v>
      </c>
      <c r="J49" s="66" t="s">
        <v>181</v>
      </c>
      <c r="K49" s="82"/>
      <c r="L49" s="65"/>
    </row>
    <row r="50" spans="1:12" ht="45" x14ac:dyDescent="0.25">
      <c r="A50" s="85"/>
      <c r="B50" s="85"/>
      <c r="C50" s="71" t="s">
        <v>76</v>
      </c>
      <c r="D50" s="71" t="s">
        <v>121</v>
      </c>
      <c r="E50" s="71" t="s">
        <v>115</v>
      </c>
      <c r="F50" s="72">
        <f>5*50</f>
        <v>250</v>
      </c>
      <c r="G50" s="73">
        <v>5032.7299999999996</v>
      </c>
      <c r="H50" s="75">
        <f t="shared" si="0"/>
        <v>20.13092</v>
      </c>
      <c r="I50" s="74" t="s">
        <v>180</v>
      </c>
      <c r="J50" s="66" t="s">
        <v>181</v>
      </c>
      <c r="K50" s="82"/>
      <c r="L50" s="65"/>
    </row>
    <row r="51" spans="1:12" ht="45" x14ac:dyDescent="0.25">
      <c r="A51" s="85"/>
      <c r="B51" s="85"/>
      <c r="C51" s="71" t="s">
        <v>76</v>
      </c>
      <c r="D51" s="71" t="s">
        <v>122</v>
      </c>
      <c r="E51" s="71" t="s">
        <v>115</v>
      </c>
      <c r="F51" s="72">
        <f>5*50</f>
        <v>250</v>
      </c>
      <c r="G51" s="73">
        <v>5032.7299999999996</v>
      </c>
      <c r="H51" s="75">
        <f t="shared" si="0"/>
        <v>20.13092</v>
      </c>
      <c r="I51" s="74" t="s">
        <v>180</v>
      </c>
      <c r="J51" s="66" t="s">
        <v>181</v>
      </c>
      <c r="K51" s="82"/>
      <c r="L51" s="65"/>
    </row>
    <row r="52" spans="1:12" ht="45" x14ac:dyDescent="0.25">
      <c r="A52" s="85"/>
      <c r="B52" s="85"/>
      <c r="C52" s="71" t="s">
        <v>76</v>
      </c>
      <c r="D52" s="71" t="s">
        <v>123</v>
      </c>
      <c r="E52" s="71" t="s">
        <v>115</v>
      </c>
      <c r="F52" s="72">
        <f>5*100</f>
        <v>500</v>
      </c>
      <c r="G52" s="73">
        <v>10004.65</v>
      </c>
      <c r="H52" s="75">
        <f t="shared" si="0"/>
        <v>20.0093</v>
      </c>
      <c r="I52" s="74" t="s">
        <v>180</v>
      </c>
      <c r="J52" s="66" t="s">
        <v>181</v>
      </c>
      <c r="K52" s="82"/>
      <c r="L52" s="65"/>
    </row>
    <row r="53" spans="1:12" ht="45" x14ac:dyDescent="0.25">
      <c r="A53" s="85"/>
      <c r="B53" s="85"/>
      <c r="C53" s="71" t="s">
        <v>76</v>
      </c>
      <c r="D53" s="71" t="s">
        <v>124</v>
      </c>
      <c r="E53" s="71" t="s">
        <v>115</v>
      </c>
      <c r="F53" s="72">
        <f>5*100</f>
        <v>500</v>
      </c>
      <c r="G53" s="73">
        <v>10004.65</v>
      </c>
      <c r="H53" s="75">
        <f t="shared" si="0"/>
        <v>20.0093</v>
      </c>
      <c r="I53" s="74" t="s">
        <v>180</v>
      </c>
      <c r="J53" s="66" t="s">
        <v>181</v>
      </c>
      <c r="K53" s="82"/>
      <c r="L53" s="65"/>
    </row>
    <row r="54" spans="1:12" ht="45" x14ac:dyDescent="0.25">
      <c r="A54" s="85"/>
      <c r="B54" s="85"/>
      <c r="C54" s="71" t="s">
        <v>76</v>
      </c>
      <c r="D54" s="71" t="s">
        <v>125</v>
      </c>
      <c r="E54" s="71" t="s">
        <v>115</v>
      </c>
      <c r="F54" s="72">
        <f>10*3</f>
        <v>30</v>
      </c>
      <c r="G54" s="73">
        <v>611.26</v>
      </c>
      <c r="H54" s="75">
        <f t="shared" si="0"/>
        <v>20.375333333333334</v>
      </c>
      <c r="I54" s="74" t="s">
        <v>180</v>
      </c>
      <c r="J54" s="66" t="s">
        <v>181</v>
      </c>
      <c r="K54" s="82"/>
      <c r="L54" s="65"/>
    </row>
    <row r="55" spans="1:12" ht="45" x14ac:dyDescent="0.25">
      <c r="A55" s="85"/>
      <c r="B55" s="85"/>
      <c r="C55" s="71" t="s">
        <v>76</v>
      </c>
      <c r="D55" s="71" t="s">
        <v>126</v>
      </c>
      <c r="E55" s="71" t="s">
        <v>115</v>
      </c>
      <c r="F55" s="72">
        <f>10*5</f>
        <v>50</v>
      </c>
      <c r="G55" s="73">
        <v>1018.76</v>
      </c>
      <c r="H55" s="75">
        <f t="shared" si="0"/>
        <v>20.3752</v>
      </c>
      <c r="I55" s="74" t="s">
        <v>180</v>
      </c>
      <c r="J55" s="66" t="s">
        <v>181</v>
      </c>
      <c r="K55" s="82"/>
      <c r="L55" s="65"/>
    </row>
    <row r="56" spans="1:12" ht="45" x14ac:dyDescent="0.25">
      <c r="A56" s="85"/>
      <c r="B56" s="85"/>
      <c r="C56" s="71" t="s">
        <v>76</v>
      </c>
      <c r="D56" s="71" t="s">
        <v>127</v>
      </c>
      <c r="E56" s="71" t="s">
        <v>115</v>
      </c>
      <c r="F56" s="72">
        <f>10*10</f>
        <v>100</v>
      </c>
      <c r="G56" s="73">
        <v>2025.29</v>
      </c>
      <c r="H56" s="75">
        <f t="shared" si="0"/>
        <v>20.2529</v>
      </c>
      <c r="I56" s="74" t="s">
        <v>180</v>
      </c>
      <c r="J56" s="66" t="s">
        <v>181</v>
      </c>
      <c r="K56" s="82"/>
      <c r="L56" s="65"/>
    </row>
    <row r="57" spans="1:12" ht="45" x14ac:dyDescent="0.25">
      <c r="A57" s="85"/>
      <c r="B57" s="85"/>
      <c r="C57" s="71" t="s">
        <v>76</v>
      </c>
      <c r="D57" s="71" t="s">
        <v>128</v>
      </c>
      <c r="E57" s="71" t="s">
        <v>115</v>
      </c>
      <c r="F57" s="72">
        <f>10*10</f>
        <v>100</v>
      </c>
      <c r="G57" s="73">
        <v>2025.29</v>
      </c>
      <c r="H57" s="75">
        <f t="shared" si="0"/>
        <v>20.2529</v>
      </c>
      <c r="I57" s="74" t="s">
        <v>180</v>
      </c>
      <c r="J57" s="66" t="s">
        <v>181</v>
      </c>
      <c r="K57" s="82"/>
      <c r="L57" s="65"/>
    </row>
    <row r="58" spans="1:12" ht="45" x14ac:dyDescent="0.25">
      <c r="A58" s="85"/>
      <c r="B58" s="85"/>
      <c r="C58" s="71" t="s">
        <v>76</v>
      </c>
      <c r="D58" s="71" t="s">
        <v>129</v>
      </c>
      <c r="E58" s="71" t="s">
        <v>115</v>
      </c>
      <c r="F58" s="72">
        <f>10*20</f>
        <v>200</v>
      </c>
      <c r="G58" s="73">
        <v>4026.19</v>
      </c>
      <c r="H58" s="75">
        <f t="shared" si="0"/>
        <v>20.130949999999999</v>
      </c>
      <c r="I58" s="74" t="s">
        <v>180</v>
      </c>
      <c r="J58" s="66" t="s">
        <v>181</v>
      </c>
      <c r="K58" s="82"/>
      <c r="L58" s="65"/>
    </row>
    <row r="59" spans="1:12" ht="45" x14ac:dyDescent="0.25">
      <c r="A59" s="85"/>
      <c r="B59" s="85"/>
      <c r="C59" s="71" t="s">
        <v>76</v>
      </c>
      <c r="D59" s="71" t="s">
        <v>130</v>
      </c>
      <c r="E59" s="71" t="s">
        <v>115</v>
      </c>
      <c r="F59" s="72">
        <f>10*20</f>
        <v>200</v>
      </c>
      <c r="G59" s="73">
        <v>4026.19</v>
      </c>
      <c r="H59" s="75">
        <f t="shared" si="0"/>
        <v>20.130949999999999</v>
      </c>
      <c r="I59" s="74" t="s">
        <v>180</v>
      </c>
      <c r="J59" s="66" t="s">
        <v>181</v>
      </c>
      <c r="K59" s="82"/>
      <c r="L59" s="65"/>
    </row>
    <row r="60" spans="1:12" ht="45" x14ac:dyDescent="0.25">
      <c r="A60" s="85"/>
      <c r="B60" s="85"/>
      <c r="C60" s="71" t="s">
        <v>76</v>
      </c>
      <c r="D60" s="71" t="s">
        <v>131</v>
      </c>
      <c r="E60" s="71" t="s">
        <v>115</v>
      </c>
      <c r="F60" s="72">
        <f>10*50</f>
        <v>500</v>
      </c>
      <c r="G60" s="73">
        <v>10004.65</v>
      </c>
      <c r="H60" s="75">
        <f t="shared" si="0"/>
        <v>20.0093</v>
      </c>
      <c r="I60" s="74" t="s">
        <v>180</v>
      </c>
      <c r="J60" s="66" t="s">
        <v>181</v>
      </c>
      <c r="K60" s="82"/>
      <c r="L60" s="65"/>
    </row>
    <row r="61" spans="1:12" ht="45" x14ac:dyDescent="0.25">
      <c r="A61" s="85"/>
      <c r="B61" s="85"/>
      <c r="C61" s="71" t="s">
        <v>76</v>
      </c>
      <c r="D61" s="71" t="s">
        <v>132</v>
      </c>
      <c r="E61" s="71" t="s">
        <v>115</v>
      </c>
      <c r="F61" s="72">
        <f>10*50</f>
        <v>500</v>
      </c>
      <c r="G61" s="73">
        <v>10004.65</v>
      </c>
      <c r="H61" s="75">
        <f t="shared" si="0"/>
        <v>20.0093</v>
      </c>
      <c r="I61" s="74" t="s">
        <v>180</v>
      </c>
      <c r="J61" s="66" t="s">
        <v>181</v>
      </c>
      <c r="K61" s="82"/>
      <c r="L61" s="65"/>
    </row>
    <row r="62" spans="1:12" ht="45" x14ac:dyDescent="0.25">
      <c r="A62" s="85"/>
      <c r="B62" s="85"/>
      <c r="C62" s="71" t="s">
        <v>76</v>
      </c>
      <c r="D62" s="71" t="s">
        <v>133</v>
      </c>
      <c r="E62" s="71" t="s">
        <v>115</v>
      </c>
      <c r="F62" s="72">
        <f>20*100</f>
        <v>2000</v>
      </c>
      <c r="G62" s="73">
        <v>39052.589999999997</v>
      </c>
      <c r="H62" s="75">
        <f t="shared" si="0"/>
        <v>19.526294999999998</v>
      </c>
      <c r="I62" s="74" t="s">
        <v>180</v>
      </c>
      <c r="J62" s="66" t="s">
        <v>181</v>
      </c>
      <c r="K62" s="82"/>
      <c r="L62" s="65"/>
    </row>
    <row r="63" spans="1:12" ht="45" x14ac:dyDescent="0.25">
      <c r="A63" s="85"/>
      <c r="B63" s="85"/>
      <c r="C63" s="71" t="s">
        <v>76</v>
      </c>
      <c r="D63" s="71" t="s">
        <v>134</v>
      </c>
      <c r="E63" s="71" t="s">
        <v>115</v>
      </c>
      <c r="F63" s="72">
        <f>20*100</f>
        <v>2000</v>
      </c>
      <c r="G63" s="73">
        <v>39052.589999999997</v>
      </c>
      <c r="H63" s="75">
        <f t="shared" si="0"/>
        <v>19.526294999999998</v>
      </c>
      <c r="I63" s="74" t="s">
        <v>180</v>
      </c>
      <c r="J63" s="66" t="s">
        <v>181</v>
      </c>
      <c r="K63" s="82"/>
      <c r="L63" s="65"/>
    </row>
    <row r="64" spans="1:12" ht="45" x14ac:dyDescent="0.25">
      <c r="A64" s="85"/>
      <c r="B64" s="85"/>
      <c r="C64" s="71" t="s">
        <v>76</v>
      </c>
      <c r="D64" s="71" t="s">
        <v>135</v>
      </c>
      <c r="E64" s="71" t="s">
        <v>115</v>
      </c>
      <c r="F64" s="72">
        <f>10*100</f>
        <v>1000</v>
      </c>
      <c r="G64" s="73">
        <v>19767.080000000002</v>
      </c>
      <c r="H64" s="75">
        <f t="shared" si="0"/>
        <v>19.76708</v>
      </c>
      <c r="I64" s="74" t="s">
        <v>180</v>
      </c>
      <c r="J64" s="66" t="s">
        <v>181</v>
      </c>
      <c r="K64" s="82"/>
      <c r="L64" s="65"/>
    </row>
    <row r="65" spans="1:12" ht="45" x14ac:dyDescent="0.25">
      <c r="A65" s="85"/>
      <c r="B65" s="85"/>
      <c r="C65" s="71" t="s">
        <v>76</v>
      </c>
      <c r="D65" s="71" t="s">
        <v>136</v>
      </c>
      <c r="E65" s="71" t="s">
        <v>115</v>
      </c>
      <c r="F65" s="72">
        <f>10*100</f>
        <v>1000</v>
      </c>
      <c r="G65" s="73">
        <v>19767.080000000002</v>
      </c>
      <c r="H65" s="75">
        <f t="shared" si="0"/>
        <v>19.76708</v>
      </c>
      <c r="I65" s="74" t="s">
        <v>180</v>
      </c>
      <c r="J65" s="66" t="s">
        <v>181</v>
      </c>
      <c r="K65" s="82"/>
      <c r="L65" s="65"/>
    </row>
    <row r="66" spans="1:12" ht="45" x14ac:dyDescent="0.25">
      <c r="A66" s="85"/>
      <c r="B66" s="85"/>
      <c r="C66" s="71" t="s">
        <v>76</v>
      </c>
      <c r="D66" s="71" t="s">
        <v>137</v>
      </c>
      <c r="E66" s="71" t="s">
        <v>115</v>
      </c>
      <c r="F66" s="72">
        <f>20*3</f>
        <v>60</v>
      </c>
      <c r="G66" s="73">
        <v>1215.18</v>
      </c>
      <c r="H66" s="75">
        <f t="shared" si="0"/>
        <v>20.253</v>
      </c>
      <c r="I66" s="74" t="s">
        <v>180</v>
      </c>
      <c r="J66" s="66" t="s">
        <v>181</v>
      </c>
      <c r="K66" s="82"/>
      <c r="L66" s="65"/>
    </row>
    <row r="67" spans="1:12" ht="45" x14ac:dyDescent="0.25">
      <c r="A67" s="85"/>
      <c r="B67" s="85"/>
      <c r="C67" s="71" t="s">
        <v>76</v>
      </c>
      <c r="D67" s="71" t="s">
        <v>138</v>
      </c>
      <c r="E67" s="71" t="s">
        <v>115</v>
      </c>
      <c r="F67" s="72">
        <f>20*5</f>
        <v>100</v>
      </c>
      <c r="G67" s="73">
        <v>2025.29</v>
      </c>
      <c r="H67" s="75">
        <f t="shared" si="0"/>
        <v>20.2529</v>
      </c>
      <c r="I67" s="74" t="s">
        <v>180</v>
      </c>
      <c r="J67" s="66" t="s">
        <v>181</v>
      </c>
      <c r="K67" s="82"/>
      <c r="L67" s="65"/>
    </row>
    <row r="68" spans="1:12" ht="45" x14ac:dyDescent="0.25">
      <c r="A68" s="85"/>
      <c r="B68" s="85"/>
      <c r="C68" s="71" t="s">
        <v>76</v>
      </c>
      <c r="D68" s="71" t="s">
        <v>139</v>
      </c>
      <c r="E68" s="71" t="s">
        <v>115</v>
      </c>
      <c r="F68" s="72">
        <f>20*10</f>
        <v>200</v>
      </c>
      <c r="G68" s="73">
        <v>4026.19</v>
      </c>
      <c r="H68" s="75">
        <f t="shared" si="0"/>
        <v>20.130949999999999</v>
      </c>
      <c r="I68" s="74" t="s">
        <v>180</v>
      </c>
      <c r="J68" s="66" t="s">
        <v>181</v>
      </c>
      <c r="K68" s="82"/>
      <c r="L68" s="65"/>
    </row>
    <row r="69" spans="1:12" ht="45" x14ac:dyDescent="0.25">
      <c r="A69" s="85"/>
      <c r="B69" s="85"/>
      <c r="C69" s="71" t="s">
        <v>76</v>
      </c>
      <c r="D69" s="71" t="s">
        <v>140</v>
      </c>
      <c r="E69" s="71" t="s">
        <v>115</v>
      </c>
      <c r="F69" s="72">
        <f>20*10</f>
        <v>200</v>
      </c>
      <c r="G69" s="73">
        <v>4026.19</v>
      </c>
      <c r="H69" s="75">
        <f t="shared" si="0"/>
        <v>20.130949999999999</v>
      </c>
      <c r="I69" s="74" t="s">
        <v>180</v>
      </c>
      <c r="J69" s="66" t="s">
        <v>181</v>
      </c>
      <c r="K69" s="82"/>
      <c r="L69" s="65"/>
    </row>
    <row r="70" spans="1:12" ht="45" x14ac:dyDescent="0.25">
      <c r="A70" s="85"/>
      <c r="B70" s="85"/>
      <c r="C70" s="71" t="s">
        <v>76</v>
      </c>
      <c r="D70" s="71" t="s">
        <v>141</v>
      </c>
      <c r="E70" s="71" t="s">
        <v>115</v>
      </c>
      <c r="F70" s="72">
        <f>20*20</f>
        <v>400</v>
      </c>
      <c r="G70" s="73">
        <v>8003.72</v>
      </c>
      <c r="H70" s="75">
        <f t="shared" si="0"/>
        <v>20.0093</v>
      </c>
      <c r="I70" s="74" t="s">
        <v>180</v>
      </c>
      <c r="J70" s="66" t="s">
        <v>181</v>
      </c>
      <c r="K70" s="82"/>
      <c r="L70" s="65"/>
    </row>
    <row r="71" spans="1:12" ht="45" x14ac:dyDescent="0.25">
      <c r="A71" s="85"/>
      <c r="B71" s="85"/>
      <c r="C71" s="71" t="s">
        <v>76</v>
      </c>
      <c r="D71" s="71" t="s">
        <v>142</v>
      </c>
      <c r="E71" s="71" t="s">
        <v>115</v>
      </c>
      <c r="F71" s="72">
        <f>20*20</f>
        <v>400</v>
      </c>
      <c r="G71" s="73">
        <v>8003.72</v>
      </c>
      <c r="H71" s="75">
        <f t="shared" si="0"/>
        <v>20.0093</v>
      </c>
      <c r="I71" s="74" t="s">
        <v>180</v>
      </c>
      <c r="J71" s="66" t="s">
        <v>181</v>
      </c>
      <c r="K71" s="82"/>
      <c r="L71" s="65"/>
    </row>
    <row r="72" spans="1:12" ht="45" x14ac:dyDescent="0.25">
      <c r="A72" s="85"/>
      <c r="B72" s="85"/>
      <c r="C72" s="71" t="s">
        <v>76</v>
      </c>
      <c r="D72" s="71" t="s">
        <v>143</v>
      </c>
      <c r="E72" s="71" t="s">
        <v>115</v>
      </c>
      <c r="F72" s="72">
        <f>20*50</f>
        <v>1000</v>
      </c>
      <c r="G72" s="73">
        <v>19767.080000000002</v>
      </c>
      <c r="H72" s="75">
        <f t="shared" si="0"/>
        <v>19.76708</v>
      </c>
      <c r="I72" s="74" t="s">
        <v>180</v>
      </c>
      <c r="J72" s="66" t="s">
        <v>181</v>
      </c>
      <c r="K72" s="82"/>
      <c r="L72" s="65"/>
    </row>
    <row r="73" spans="1:12" ht="45" x14ac:dyDescent="0.25">
      <c r="A73" s="85"/>
      <c r="B73" s="85"/>
      <c r="C73" s="71" t="s">
        <v>76</v>
      </c>
      <c r="D73" s="71" t="s">
        <v>144</v>
      </c>
      <c r="E73" s="71" t="s">
        <v>115</v>
      </c>
      <c r="F73" s="72">
        <f>20*50</f>
        <v>1000</v>
      </c>
      <c r="G73" s="73">
        <v>19767.080000000002</v>
      </c>
      <c r="H73" s="75">
        <f t="shared" ref="H73:H78" si="2">G73/F73</f>
        <v>19.76708</v>
      </c>
      <c r="I73" s="74" t="s">
        <v>180</v>
      </c>
      <c r="J73" s="66" t="s">
        <v>181</v>
      </c>
      <c r="K73" s="82"/>
      <c r="L73" s="65"/>
    </row>
    <row r="74" spans="1:12" ht="30" x14ac:dyDescent="0.25">
      <c r="A74" s="85"/>
      <c r="B74" s="85"/>
      <c r="C74" s="71" t="s">
        <v>76</v>
      </c>
      <c r="D74" s="71" t="s">
        <v>81</v>
      </c>
      <c r="E74" s="71" t="s">
        <v>145</v>
      </c>
      <c r="F74" s="72">
        <f>10*5</f>
        <v>50</v>
      </c>
      <c r="G74" s="73">
        <v>917.18</v>
      </c>
      <c r="H74" s="75">
        <f t="shared" si="2"/>
        <v>18.343599999999999</v>
      </c>
      <c r="I74" s="74" t="s">
        <v>177</v>
      </c>
      <c r="J74" s="66" t="s">
        <v>182</v>
      </c>
      <c r="K74" s="82"/>
      <c r="L74" s="65"/>
    </row>
    <row r="75" spans="1:12" ht="30" x14ac:dyDescent="0.25">
      <c r="A75" s="85"/>
      <c r="B75" s="85"/>
      <c r="C75" s="71" t="s">
        <v>76</v>
      </c>
      <c r="D75" s="71" t="s">
        <v>83</v>
      </c>
      <c r="E75" s="71" t="s">
        <v>145</v>
      </c>
      <c r="F75" s="72">
        <f>20*5</f>
        <v>100</v>
      </c>
      <c r="G75" s="73">
        <v>1834.37</v>
      </c>
      <c r="H75" s="75">
        <f t="shared" si="2"/>
        <v>18.343699999999998</v>
      </c>
      <c r="I75" s="74" t="s">
        <v>177</v>
      </c>
      <c r="J75" s="66" t="s">
        <v>182</v>
      </c>
      <c r="K75" s="82"/>
      <c r="L75" s="65"/>
    </row>
    <row r="76" spans="1:12" ht="30" x14ac:dyDescent="0.25">
      <c r="A76" s="85"/>
      <c r="B76" s="85"/>
      <c r="C76" s="71" t="s">
        <v>76</v>
      </c>
      <c r="D76" s="71" t="s">
        <v>85</v>
      </c>
      <c r="E76" s="71" t="s">
        <v>145</v>
      </c>
      <c r="F76" s="72">
        <f>10*10</f>
        <v>100</v>
      </c>
      <c r="G76" s="73">
        <v>1834.37</v>
      </c>
      <c r="H76" s="75">
        <f t="shared" si="2"/>
        <v>18.343699999999998</v>
      </c>
      <c r="I76" s="74" t="s">
        <v>177</v>
      </c>
      <c r="J76" s="66" t="s">
        <v>182</v>
      </c>
      <c r="K76" s="82"/>
      <c r="L76" s="65"/>
    </row>
    <row r="77" spans="1:12" ht="30" x14ac:dyDescent="0.25">
      <c r="A77" s="85"/>
      <c r="B77" s="85"/>
      <c r="C77" s="71" t="s">
        <v>76</v>
      </c>
      <c r="D77" s="71" t="s">
        <v>112</v>
      </c>
      <c r="E77" s="71" t="s">
        <v>145</v>
      </c>
      <c r="F77" s="72">
        <f>20*10</f>
        <v>200</v>
      </c>
      <c r="G77" s="73">
        <v>3668.74</v>
      </c>
      <c r="H77" s="75">
        <f t="shared" si="2"/>
        <v>18.343699999999998</v>
      </c>
      <c r="I77" s="74" t="s">
        <v>177</v>
      </c>
      <c r="J77" s="66" t="s">
        <v>182</v>
      </c>
      <c r="K77" s="82"/>
      <c r="L77" s="65"/>
    </row>
    <row r="78" spans="1:12" ht="30" x14ac:dyDescent="0.25">
      <c r="A78" s="85"/>
      <c r="B78" s="85"/>
      <c r="C78" s="71" t="s">
        <v>76</v>
      </c>
      <c r="D78" s="71" t="s">
        <v>81</v>
      </c>
      <c r="E78" s="71" t="s">
        <v>113</v>
      </c>
      <c r="F78" s="72">
        <f>10*5</f>
        <v>50</v>
      </c>
      <c r="G78" s="73">
        <v>1063.0999999999999</v>
      </c>
      <c r="H78" s="75">
        <f t="shared" si="2"/>
        <v>21.261999999999997</v>
      </c>
      <c r="I78" s="74" t="s">
        <v>156</v>
      </c>
      <c r="J78" s="66" t="s">
        <v>183</v>
      </c>
      <c r="K78" s="82"/>
      <c r="L78" s="65"/>
    </row>
    <row r="81" spans="2:4" ht="27.75" customHeight="1" x14ac:dyDescent="0.25">
      <c r="B81" s="81" t="s">
        <v>184</v>
      </c>
      <c r="C81" s="81"/>
      <c r="D81" s="81"/>
    </row>
  </sheetData>
  <autoFilter ref="A7:K7"/>
  <mergeCells count="8">
    <mergeCell ref="B81:D81"/>
    <mergeCell ref="K8:K78"/>
    <mergeCell ref="A2:L2"/>
    <mergeCell ref="A3:L3"/>
    <mergeCell ref="A4:L4"/>
    <mergeCell ref="A5:L5"/>
    <mergeCell ref="B8:B78"/>
    <mergeCell ref="A8:A78"/>
  </mergeCells>
  <pageMargins left="0.25" right="0.25" top="0.75" bottom="0.75" header="0.3" footer="0.3"/>
  <pageSetup paperSize="9" scale="37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7"/>
  <sheetViews>
    <sheetView workbookViewId="0">
      <selection activeCell="B9" sqref="B9"/>
    </sheetView>
  </sheetViews>
  <sheetFormatPr defaultRowHeight="13.5" x14ac:dyDescent="0.25"/>
  <cols>
    <col min="1" max="1" width="7.28515625" style="7" customWidth="1"/>
    <col min="2" max="2" width="33.7109375" style="7" customWidth="1"/>
    <col min="3" max="3" width="34.28515625" style="7" customWidth="1"/>
    <col min="4" max="4" width="10.85546875" style="7" customWidth="1"/>
    <col min="5" max="5" width="12.85546875" style="7" customWidth="1"/>
    <col min="6" max="6" width="11.85546875" style="7" customWidth="1"/>
    <col min="7" max="7" width="15.5703125" style="7" customWidth="1"/>
    <col min="8" max="8" width="15.42578125" style="7" customWidth="1"/>
    <col min="9" max="9" width="16.5703125" style="7" customWidth="1"/>
    <col min="10" max="10" width="36.28515625" style="7" customWidth="1"/>
    <col min="11" max="11" width="32.28515625" style="7" customWidth="1"/>
    <col min="12" max="12" width="28.7109375" style="7" customWidth="1"/>
    <col min="13" max="16384" width="9.140625" style="7"/>
  </cols>
  <sheetData>
    <row r="2" spans="1:13" ht="43.5" customHeight="1" x14ac:dyDescent="0.25">
      <c r="A2" s="90" t="s">
        <v>54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23"/>
    </row>
    <row r="3" spans="1:13" ht="102" customHeight="1" x14ac:dyDescent="0.25">
      <c r="A3" s="89" t="s">
        <v>55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23"/>
    </row>
    <row r="5" spans="1:13" s="14" customFormat="1" ht="63.75" x14ac:dyDescent="0.25">
      <c r="A5" s="12" t="s">
        <v>0</v>
      </c>
      <c r="B5" s="12" t="s">
        <v>17</v>
      </c>
      <c r="C5" s="12" t="s">
        <v>45</v>
      </c>
      <c r="D5" s="13" t="s">
        <v>36</v>
      </c>
      <c r="E5" s="13" t="s">
        <v>48</v>
      </c>
      <c r="F5" s="13" t="s">
        <v>49</v>
      </c>
      <c r="G5" s="13" t="s">
        <v>37</v>
      </c>
      <c r="H5" s="13" t="s">
        <v>38</v>
      </c>
      <c r="I5" s="16" t="s">
        <v>33</v>
      </c>
      <c r="J5" s="12" t="s">
        <v>39</v>
      </c>
      <c r="K5" s="12" t="s">
        <v>40</v>
      </c>
      <c r="L5" s="15" t="s">
        <v>41</v>
      </c>
    </row>
    <row r="6" spans="1:13" s="18" customFormat="1" ht="44.25" customHeight="1" x14ac:dyDescent="0.25">
      <c r="A6" s="17">
        <v>1</v>
      </c>
      <c r="B6" s="22" t="str">
        <f>'Справочник лекарств'!B8</f>
        <v>Ропивакаин</v>
      </c>
      <c r="C6" s="86" t="s">
        <v>56</v>
      </c>
      <c r="D6" s="87"/>
      <c r="E6" s="87"/>
      <c r="F6" s="87"/>
      <c r="G6" s="87"/>
      <c r="H6" s="87"/>
      <c r="I6" s="87"/>
      <c r="J6" s="87"/>
      <c r="K6" s="88"/>
      <c r="L6" s="31"/>
    </row>
    <row r="7" spans="1:13" s="27" customFormat="1" ht="18" customHeight="1" x14ac:dyDescent="0.25">
      <c r="A7" s="19"/>
      <c r="B7" s="19"/>
      <c r="C7" s="19"/>
      <c r="D7" s="19"/>
      <c r="E7" s="20" t="s">
        <v>44</v>
      </c>
      <c r="F7" s="21">
        <f>F6</f>
        <v>0</v>
      </c>
      <c r="G7" s="19"/>
      <c r="H7" s="19"/>
      <c r="I7" s="19"/>
      <c r="J7" s="19"/>
      <c r="K7" s="19"/>
      <c r="L7" s="19"/>
    </row>
  </sheetData>
  <mergeCells count="3">
    <mergeCell ref="C6:K6"/>
    <mergeCell ref="A3:L3"/>
    <mergeCell ref="A2:L2"/>
  </mergeCells>
  <pageMargins left="0.25" right="0.25" top="0.75" bottom="0.75" header="0.3" footer="0.3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0"/>
  <sheetViews>
    <sheetView zoomScale="85" zoomScaleNormal="85" workbookViewId="0">
      <selection activeCell="Q11" sqref="Q11"/>
    </sheetView>
  </sheetViews>
  <sheetFormatPr defaultColWidth="8.85546875" defaultRowHeight="15" x14ac:dyDescent="0.25"/>
  <cols>
    <col min="1" max="1" width="4" style="4" customWidth="1"/>
    <col min="2" max="2" width="24.28515625" style="4" customWidth="1"/>
    <col min="3" max="3" width="59.85546875" style="4" customWidth="1"/>
    <col min="4" max="4" width="39.7109375" style="4" customWidth="1"/>
    <col min="5" max="5" width="11.5703125" style="4" customWidth="1"/>
    <col min="6" max="6" width="15.5703125" style="4" customWidth="1"/>
    <col min="7" max="7" width="12" style="4" customWidth="1"/>
    <col min="8" max="8" width="13" style="4" customWidth="1"/>
    <col min="9" max="9" width="12.140625" style="4" customWidth="1"/>
    <col min="10" max="10" width="16" style="4" customWidth="1"/>
    <col min="11" max="11" width="10.140625" style="4" customWidth="1"/>
    <col min="12" max="12" width="13.28515625" style="4" customWidth="1"/>
    <col min="13" max="13" width="11" style="4" customWidth="1"/>
    <col min="14" max="14" width="16.140625" style="4" customWidth="1"/>
    <col min="15" max="15" width="12.7109375" style="4" customWidth="1"/>
    <col min="16" max="16" width="13.42578125" style="4" customWidth="1"/>
    <col min="17" max="17" width="19.7109375" style="4" customWidth="1"/>
    <col min="18" max="16384" width="8.85546875" style="4"/>
  </cols>
  <sheetData>
    <row r="2" spans="1:17" ht="45.75" customHeight="1" x14ac:dyDescent="0.25">
      <c r="A2" s="92" t="s">
        <v>18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5" customHeight="1" x14ac:dyDescent="0.25">
      <c r="A3" s="79" t="s">
        <v>31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</row>
    <row r="4" spans="1:17" ht="34.5" customHeight="1" x14ac:dyDescent="0.25">
      <c r="A4" s="94" t="s">
        <v>185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</row>
    <row r="5" spans="1:17" ht="24" customHeight="1" x14ac:dyDescent="0.25">
      <c r="A5" s="93" t="s">
        <v>2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</row>
    <row r="6" spans="1:17" ht="15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7" s="1" customFormat="1" ht="33" customHeight="1" x14ac:dyDescent="0.2">
      <c r="A7" s="91" t="s">
        <v>0</v>
      </c>
      <c r="B7" s="98" t="s">
        <v>1</v>
      </c>
      <c r="C7" s="95" t="s">
        <v>13</v>
      </c>
      <c r="D7" s="95" t="s">
        <v>14</v>
      </c>
      <c r="E7" s="102" t="s">
        <v>71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99" t="s">
        <v>34</v>
      </c>
    </row>
    <row r="8" spans="1:17" s="1" customFormat="1" ht="43.5" customHeight="1" x14ac:dyDescent="0.2">
      <c r="A8" s="91"/>
      <c r="B8" s="98"/>
      <c r="C8" s="96"/>
      <c r="D8" s="96"/>
      <c r="E8" s="91" t="s">
        <v>186</v>
      </c>
      <c r="F8" s="91"/>
      <c r="G8" s="91"/>
      <c r="H8" s="91"/>
      <c r="I8" s="91" t="s">
        <v>187</v>
      </c>
      <c r="J8" s="91"/>
      <c r="K8" s="91"/>
      <c r="L8" s="91"/>
      <c r="M8" s="91" t="s">
        <v>188</v>
      </c>
      <c r="N8" s="91"/>
      <c r="O8" s="91"/>
      <c r="P8" s="91"/>
      <c r="Q8" s="100"/>
    </row>
    <row r="9" spans="1:17" s="1" customFormat="1" ht="76.5" customHeight="1" x14ac:dyDescent="0.2">
      <c r="A9" s="91"/>
      <c r="B9" s="98"/>
      <c r="C9" s="97"/>
      <c r="D9" s="97"/>
      <c r="E9" s="10" t="s">
        <v>35</v>
      </c>
      <c r="F9" s="26" t="s">
        <v>12</v>
      </c>
      <c r="G9" s="10" t="s">
        <v>52</v>
      </c>
      <c r="H9" s="11" t="s">
        <v>28</v>
      </c>
      <c r="I9" s="10" t="s">
        <v>35</v>
      </c>
      <c r="J9" s="64" t="s">
        <v>12</v>
      </c>
      <c r="K9" s="10" t="s">
        <v>52</v>
      </c>
      <c r="L9" s="11" t="s">
        <v>28</v>
      </c>
      <c r="M9" s="10" t="s">
        <v>35</v>
      </c>
      <c r="N9" s="64" t="s">
        <v>12</v>
      </c>
      <c r="O9" s="10" t="s">
        <v>52</v>
      </c>
      <c r="P9" s="11" t="s">
        <v>28</v>
      </c>
      <c r="Q9" s="101"/>
    </row>
    <row r="10" spans="1:17" s="1" customFormat="1" ht="53.25" customHeight="1" x14ac:dyDescent="0.2">
      <c r="A10" s="2">
        <v>1</v>
      </c>
      <c r="B10" s="25" t="s">
        <v>76</v>
      </c>
      <c r="C10" s="9" t="s">
        <v>78</v>
      </c>
      <c r="D10" s="25" t="s">
        <v>79</v>
      </c>
      <c r="E10" s="28">
        <v>636.36</v>
      </c>
      <c r="F10" s="25" t="s">
        <v>50</v>
      </c>
      <c r="G10" s="10">
        <f>10*5</f>
        <v>50</v>
      </c>
      <c r="H10" s="29">
        <f t="shared" ref="H10" si="0">E10/G10</f>
        <v>12.7272</v>
      </c>
      <c r="I10" s="28">
        <v>636.36</v>
      </c>
      <c r="J10" s="25" t="s">
        <v>50</v>
      </c>
      <c r="K10" s="10">
        <f>10*5</f>
        <v>50</v>
      </c>
      <c r="L10" s="29">
        <f t="shared" ref="L10" si="1">I10/K10</f>
        <v>12.7272</v>
      </c>
      <c r="M10" s="28">
        <v>636.36</v>
      </c>
      <c r="N10" s="25" t="s">
        <v>50</v>
      </c>
      <c r="O10" s="10">
        <f>10*5</f>
        <v>50</v>
      </c>
      <c r="P10" s="29">
        <f t="shared" ref="P10" si="2">M10/O10</f>
        <v>12.7272</v>
      </c>
      <c r="Q10" s="67">
        <v>12.73</v>
      </c>
    </row>
  </sheetData>
  <mergeCells count="13">
    <mergeCell ref="M8:P8"/>
    <mergeCell ref="A3:Q3"/>
    <mergeCell ref="A2:Q2"/>
    <mergeCell ref="A5:P5"/>
    <mergeCell ref="A4:Q4"/>
    <mergeCell ref="D7:D9"/>
    <mergeCell ref="A7:A9"/>
    <mergeCell ref="B7:B9"/>
    <mergeCell ref="C7:C9"/>
    <mergeCell ref="Q7:Q9"/>
    <mergeCell ref="E7:P7"/>
    <mergeCell ref="E8:H8"/>
    <mergeCell ref="I8:L8"/>
  </mergeCells>
  <pageMargins left="0.25" right="0.25" top="0.75" bottom="0.75" header="0.3" footer="0.3"/>
  <pageSetup paperSize="9" scale="4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"/>
  <sheetViews>
    <sheetView zoomScale="85" zoomScaleNormal="85" workbookViewId="0">
      <selection activeCell="C19" sqref="C19"/>
    </sheetView>
  </sheetViews>
  <sheetFormatPr defaultColWidth="8.85546875" defaultRowHeight="15" x14ac:dyDescent="0.25"/>
  <cols>
    <col min="1" max="1" width="4.7109375" style="4" customWidth="1"/>
    <col min="2" max="2" width="25.28515625" style="4" customWidth="1"/>
    <col min="3" max="3" width="20.7109375" style="4" customWidth="1"/>
    <col min="4" max="4" width="19.42578125" style="4" customWidth="1"/>
    <col min="5" max="5" width="50.140625" style="4" customWidth="1"/>
    <col min="6" max="6" width="21.140625" style="4" customWidth="1"/>
    <col min="7" max="8" width="23.7109375" style="4" customWidth="1"/>
    <col min="9" max="9" width="25.28515625" style="4" customWidth="1"/>
    <col min="10" max="10" width="48.7109375" style="4" customWidth="1"/>
    <col min="11" max="11" width="18.28515625" style="4" customWidth="1"/>
    <col min="12" max="12" width="23.7109375" style="4" customWidth="1"/>
    <col min="13" max="16384" width="8.85546875" style="4"/>
  </cols>
  <sheetData>
    <row r="2" spans="1:12" ht="21.75" customHeight="1" x14ac:dyDescent="0.25">
      <c r="A2" s="103" t="s">
        <v>64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</row>
    <row r="4" spans="1:12" ht="76.5" customHeight="1" x14ac:dyDescent="0.25">
      <c r="A4" s="8" t="s">
        <v>0</v>
      </c>
      <c r="B4" s="25" t="s">
        <v>1</v>
      </c>
      <c r="C4" s="25" t="s">
        <v>11</v>
      </c>
      <c r="D4" s="25" t="s">
        <v>12</v>
      </c>
      <c r="E4" s="9" t="s">
        <v>13</v>
      </c>
      <c r="F4" s="25" t="s">
        <v>14</v>
      </c>
      <c r="G4" s="25" t="s">
        <v>15</v>
      </c>
      <c r="H4" s="25" t="s">
        <v>3</v>
      </c>
      <c r="I4" s="25" t="s">
        <v>2</v>
      </c>
      <c r="J4" s="25" t="s">
        <v>32</v>
      </c>
      <c r="K4" s="25" t="s">
        <v>7</v>
      </c>
      <c r="L4" s="9" t="s">
        <v>6</v>
      </c>
    </row>
    <row r="5" spans="1:12" ht="90.75" customHeight="1" x14ac:dyDescent="0.25">
      <c r="A5" s="34">
        <v>1</v>
      </c>
      <c r="B5" s="25" t="s">
        <v>76</v>
      </c>
      <c r="C5" s="25" t="s">
        <v>77</v>
      </c>
      <c r="D5" s="25" t="s">
        <v>50</v>
      </c>
      <c r="E5" s="9" t="s">
        <v>78</v>
      </c>
      <c r="F5" s="25" t="s">
        <v>79</v>
      </c>
      <c r="G5" s="25" t="s">
        <v>46</v>
      </c>
      <c r="H5" s="68">
        <f>'тарифный метод (только ЖНВЛП)'!K8</f>
        <v>11.87</v>
      </c>
      <c r="I5" s="68">
        <f>'анализ рынка'!Q10</f>
        <v>12.73</v>
      </c>
      <c r="J5" s="25" t="s">
        <v>56</v>
      </c>
      <c r="K5" s="51" t="s">
        <v>9</v>
      </c>
      <c r="L5" s="69">
        <v>11.87</v>
      </c>
    </row>
    <row r="6" spans="1:12" ht="14.25" customHeight="1" x14ac:dyDescent="0.25"/>
    <row r="7" spans="1:12" ht="17.25" customHeight="1" x14ac:dyDescent="0.25">
      <c r="A7" s="104" t="s">
        <v>10</v>
      </c>
      <c r="B7" s="104"/>
      <c r="C7" s="104"/>
      <c r="D7" s="104"/>
      <c r="E7" s="104"/>
      <c r="F7" s="104"/>
      <c r="G7" s="104"/>
      <c r="H7" s="104"/>
      <c r="I7" s="104"/>
    </row>
    <row r="8" spans="1:12" ht="31.5" customHeight="1" x14ac:dyDescent="0.25">
      <c r="A8" s="79" t="s">
        <v>62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</row>
    <row r="9" spans="1:12" ht="18" customHeight="1" x14ac:dyDescent="0.25">
      <c r="A9" s="105" t="s">
        <v>63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</row>
    <row r="10" spans="1:12" ht="24" customHeight="1" x14ac:dyDescent="0.25">
      <c r="A10" s="79" t="s">
        <v>42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</row>
    <row r="11" spans="1:12" ht="23.25" customHeight="1" x14ac:dyDescent="0.25">
      <c r="A11" s="52" t="s">
        <v>73</v>
      </c>
    </row>
    <row r="12" spans="1:12" ht="15" customHeight="1" x14ac:dyDescent="0.25">
      <c r="A12" s="106" t="s">
        <v>74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</row>
    <row r="13" spans="1:12" ht="45" customHeight="1" x14ac:dyDescent="0.25">
      <c r="A13" s="107" t="s">
        <v>68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</row>
    <row r="14" spans="1:12" ht="37.5" customHeight="1" x14ac:dyDescent="0.25">
      <c r="A14" s="79" t="s">
        <v>72</v>
      </c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</row>
  </sheetData>
  <mergeCells count="8">
    <mergeCell ref="A2:L2"/>
    <mergeCell ref="A8:L8"/>
    <mergeCell ref="A7:I7"/>
    <mergeCell ref="A9:L9"/>
    <mergeCell ref="A14:L14"/>
    <mergeCell ref="A10:L10"/>
    <mergeCell ref="A12:L12"/>
    <mergeCell ref="A13:L13"/>
  </mergeCells>
  <pageMargins left="0.25" right="0.25" top="0.75" bottom="0.75" header="0.3" footer="0.3"/>
  <pageSetup paperSize="9" scale="4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85" zoomScaleNormal="85" workbookViewId="0">
      <selection activeCell="A7" sqref="A7:N7"/>
    </sheetView>
  </sheetViews>
  <sheetFormatPr defaultColWidth="8.85546875" defaultRowHeight="15" x14ac:dyDescent="0.25"/>
  <cols>
    <col min="1" max="1" width="4" style="4" customWidth="1"/>
    <col min="2" max="2" width="27.85546875" style="4" customWidth="1"/>
    <col min="3" max="3" width="20.42578125" style="4" customWidth="1"/>
    <col min="4" max="4" width="21.28515625" style="4" customWidth="1"/>
    <col min="5" max="5" width="57.28515625" style="4" customWidth="1"/>
    <col min="6" max="6" width="20.7109375" style="4" customWidth="1"/>
    <col min="7" max="7" width="22.5703125" style="4" customWidth="1"/>
    <col min="8" max="8" width="15.42578125" style="4" customWidth="1"/>
    <col min="9" max="9" width="13.5703125" style="4" customWidth="1"/>
    <col min="10" max="10" width="11.28515625" style="4" customWidth="1"/>
    <col min="11" max="11" width="14.7109375" style="4" customWidth="1"/>
    <col min="12" max="12" width="9.85546875" style="4" customWidth="1"/>
    <col min="13" max="13" width="13.7109375" style="4" customWidth="1"/>
    <col min="14" max="14" width="18" style="4" customWidth="1"/>
    <col min="15" max="15" width="5.42578125" style="4" customWidth="1"/>
    <col min="16" max="16384" width="8.85546875" style="4"/>
  </cols>
  <sheetData>
    <row r="1" spans="1:15" ht="14.25" customHeight="1" x14ac:dyDescent="0.25">
      <c r="L1" s="112"/>
      <c r="M1" s="112"/>
      <c r="N1" s="112"/>
    </row>
    <row r="2" spans="1:15" x14ac:dyDescent="0.25">
      <c r="A2" s="116" t="s">
        <v>47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</row>
    <row r="3" spans="1:15" ht="14.25" customHeight="1" x14ac:dyDescent="0.25"/>
    <row r="4" spans="1:15" ht="41.25" customHeight="1" x14ac:dyDescent="0.25">
      <c r="A4" s="78" t="s">
        <v>18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5" ht="24" customHeight="1" x14ac:dyDescent="0.25">
      <c r="A5" s="79" t="s">
        <v>5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</row>
    <row r="6" spans="1:15" ht="31.5" customHeight="1" x14ac:dyDescent="0.25">
      <c r="A6" s="79" t="s">
        <v>19</v>
      </c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</row>
    <row r="7" spans="1:15" ht="38.25" customHeight="1" x14ac:dyDescent="0.25">
      <c r="A7" s="117" t="s">
        <v>75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</row>
    <row r="9" spans="1:15" ht="108" customHeight="1" x14ac:dyDescent="0.25">
      <c r="A9" s="34" t="s">
        <v>0</v>
      </c>
      <c r="B9" s="25" t="s">
        <v>1</v>
      </c>
      <c r="C9" s="25" t="s">
        <v>11</v>
      </c>
      <c r="D9" s="25" t="s">
        <v>12</v>
      </c>
      <c r="E9" s="9" t="s">
        <v>13</v>
      </c>
      <c r="F9" s="25" t="s">
        <v>14</v>
      </c>
      <c r="G9" s="25" t="s">
        <v>15</v>
      </c>
      <c r="H9" s="9" t="s">
        <v>8</v>
      </c>
      <c r="I9" s="34" t="s">
        <v>33</v>
      </c>
      <c r="J9" s="34" t="s">
        <v>60</v>
      </c>
      <c r="K9" s="34" t="s">
        <v>61</v>
      </c>
      <c r="L9" s="34" t="s">
        <v>57</v>
      </c>
      <c r="M9" s="35" t="s">
        <v>51</v>
      </c>
      <c r="N9" s="35" t="s">
        <v>4</v>
      </c>
    </row>
    <row r="10" spans="1:15" ht="97.5" customHeight="1" x14ac:dyDescent="0.25">
      <c r="A10" s="34">
        <v>1</v>
      </c>
      <c r="B10" s="25" t="s">
        <v>76</v>
      </c>
      <c r="C10" s="25" t="s">
        <v>77</v>
      </c>
      <c r="D10" s="25" t="s">
        <v>50</v>
      </c>
      <c r="E10" s="9" t="s">
        <v>78</v>
      </c>
      <c r="F10" s="25" t="s">
        <v>79</v>
      </c>
      <c r="G10" s="25" t="s">
        <v>46</v>
      </c>
      <c r="H10" s="58">
        <v>5000</v>
      </c>
      <c r="I10" s="36">
        <f>'Выбор минимального значения'!L5</f>
        <v>11.87</v>
      </c>
      <c r="J10" s="37">
        <v>0.1</v>
      </c>
      <c r="K10" s="57">
        <f>I10*1.1</f>
        <v>13.057</v>
      </c>
      <c r="L10" s="70">
        <f>13.06*1.1</f>
        <v>14.366000000000001</v>
      </c>
      <c r="M10" s="38">
        <v>14.37</v>
      </c>
      <c r="N10" s="38">
        <f t="shared" ref="N10" si="0">M10*H10</f>
        <v>71850</v>
      </c>
    </row>
    <row r="11" spans="1:15" ht="27.75" customHeight="1" x14ac:dyDescent="0.25">
      <c r="A11" s="109" t="s">
        <v>70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1"/>
      <c r="N11" s="39">
        <f>SUM(N10:N10)</f>
        <v>71850</v>
      </c>
      <c r="O11" s="40"/>
    </row>
    <row r="12" spans="1:15" x14ac:dyDescent="0.25">
      <c r="A12" s="41"/>
      <c r="B12" s="41"/>
      <c r="C12" s="41"/>
      <c r="D12" s="41"/>
      <c r="E12" s="41"/>
      <c r="F12" s="41"/>
      <c r="G12" s="41"/>
      <c r="H12" s="41"/>
      <c r="I12" s="41"/>
      <c r="J12" s="55"/>
      <c r="K12" s="55"/>
      <c r="L12" s="41"/>
      <c r="M12" s="41"/>
      <c r="N12" s="42"/>
      <c r="O12" s="40"/>
    </row>
    <row r="13" spans="1:15" ht="24.75" customHeight="1" x14ac:dyDescent="0.25">
      <c r="A13" s="113" t="s">
        <v>65</v>
      </c>
      <c r="B13" s="113"/>
      <c r="C13" s="113"/>
      <c r="D13" s="113"/>
      <c r="E13" s="113"/>
      <c r="F13" s="113"/>
      <c r="G13" s="113"/>
      <c r="H13" s="115">
        <f>N11</f>
        <v>71850</v>
      </c>
      <c r="I13" s="115"/>
      <c r="J13" s="56"/>
      <c r="K13" s="56"/>
      <c r="L13" s="43"/>
      <c r="M13" s="41"/>
      <c r="N13" s="44"/>
      <c r="O13" s="40"/>
    </row>
    <row r="14" spans="1:15" x14ac:dyDescent="0.25">
      <c r="A14" s="41"/>
      <c r="B14" s="41"/>
      <c r="C14" s="41"/>
      <c r="D14" s="41"/>
      <c r="E14" s="41"/>
      <c r="F14" s="41"/>
      <c r="G14" s="41"/>
      <c r="H14" s="41"/>
      <c r="I14" s="41"/>
      <c r="J14" s="55"/>
      <c r="K14" s="55"/>
      <c r="L14" s="41"/>
      <c r="M14" s="41"/>
      <c r="N14" s="44"/>
      <c r="O14" s="40"/>
    </row>
    <row r="15" spans="1:15" ht="16.5" customHeight="1" x14ac:dyDescent="0.25">
      <c r="A15" s="45" t="s">
        <v>58</v>
      </c>
      <c r="N15" s="46"/>
      <c r="O15" s="40"/>
    </row>
    <row r="16" spans="1:15" ht="14.25" customHeight="1" x14ac:dyDescent="0.25">
      <c r="A16" s="45" t="s">
        <v>59</v>
      </c>
      <c r="B16" s="41"/>
      <c r="C16" s="41"/>
      <c r="D16" s="41"/>
      <c r="E16" s="41"/>
      <c r="F16" s="41"/>
      <c r="G16" s="41"/>
      <c r="H16" s="41"/>
      <c r="I16" s="41"/>
      <c r="J16" s="55"/>
      <c r="K16" s="55"/>
      <c r="L16" s="41"/>
      <c r="M16" s="41"/>
      <c r="N16" s="44"/>
      <c r="O16" s="40"/>
    </row>
    <row r="17" spans="1:15" ht="38.25" customHeight="1" x14ac:dyDescent="0.25">
      <c r="A17" s="79" t="s">
        <v>66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40"/>
    </row>
    <row r="18" spans="1:15" ht="16.899999999999999" customHeight="1" x14ac:dyDescent="0.25">
      <c r="D18" s="47"/>
      <c r="E18" s="48"/>
      <c r="F18" s="48"/>
      <c r="G18" s="48"/>
      <c r="H18" s="48"/>
      <c r="I18" s="48"/>
      <c r="J18" s="48"/>
      <c r="K18" s="48"/>
      <c r="O18" s="40"/>
    </row>
    <row r="19" spans="1:15" ht="28.9" customHeight="1" x14ac:dyDescent="0.25">
      <c r="A19" s="108" t="s">
        <v>69</v>
      </c>
      <c r="B19" s="108"/>
      <c r="C19" s="108"/>
      <c r="D19" s="108"/>
      <c r="E19" s="108"/>
      <c r="F19" s="108"/>
      <c r="G19" s="108"/>
      <c r="H19" s="48"/>
      <c r="I19" s="48"/>
      <c r="J19" s="48"/>
      <c r="K19" s="48"/>
      <c r="N19" s="48"/>
      <c r="O19" s="40"/>
    </row>
    <row r="20" spans="1:15" ht="26.25" customHeight="1" x14ac:dyDescent="0.25">
      <c r="B20" s="48"/>
      <c r="C20" s="48"/>
      <c r="F20" s="48"/>
      <c r="G20" s="48"/>
      <c r="H20" s="49"/>
      <c r="I20" s="50"/>
      <c r="J20" s="50"/>
      <c r="K20" s="50"/>
    </row>
    <row r="21" spans="1:15" x14ac:dyDescent="0.25">
      <c r="A21" s="48"/>
      <c r="B21" s="48"/>
      <c r="C21" s="48"/>
      <c r="E21" s="4" t="s">
        <v>189</v>
      </c>
      <c r="F21" s="48"/>
      <c r="G21" s="48"/>
      <c r="H21" s="50"/>
      <c r="I21" s="50"/>
      <c r="J21" s="50"/>
      <c r="K21" s="50"/>
      <c r="L21" s="48"/>
    </row>
    <row r="22" spans="1:15" x14ac:dyDescent="0.25">
      <c r="D22" s="48"/>
      <c r="E22" s="48"/>
      <c r="F22" s="48"/>
      <c r="G22" s="48"/>
      <c r="H22" s="48"/>
      <c r="I22" s="48"/>
      <c r="J22" s="48"/>
      <c r="K22" s="48"/>
      <c r="L22" s="48"/>
    </row>
  </sheetData>
  <mergeCells count="11">
    <mergeCell ref="A19:G19"/>
    <mergeCell ref="A11:M11"/>
    <mergeCell ref="L1:N1"/>
    <mergeCell ref="A13:G13"/>
    <mergeCell ref="A17:N17"/>
    <mergeCell ref="H13:I13"/>
    <mergeCell ref="A2:N2"/>
    <mergeCell ref="A4:N4"/>
    <mergeCell ref="A5:N5"/>
    <mergeCell ref="A6:N6"/>
    <mergeCell ref="A7:N7"/>
  </mergeCells>
  <pageMargins left="0.25" right="0.25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тарифный метод (только ЖНВЛП)</vt:lpstr>
      <vt:lpstr>Средневзвешенная</vt:lpstr>
      <vt:lpstr>анализ рынка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Красулина Анастасия Владимировна</cp:lastModifiedBy>
  <cp:lastPrinted>2026-08-25T09:10:38Z</cp:lastPrinted>
  <dcterms:created xsi:type="dcterms:W3CDTF">2018-01-29T11:31:17Z</dcterms:created>
  <dcterms:modified xsi:type="dcterms:W3CDTF">2026-09-18T12:51:11Z</dcterms:modified>
</cp:coreProperties>
</file>