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7-11" sheetId="1" r:id="rId1"/>
    <sheet name="12-18" sheetId="4" r:id="rId2"/>
  </sheets>
  <definedNames>
    <definedName name="_xlnm.Print_Area" localSheetId="1">'12-18'!$A$1:$P$240</definedName>
    <definedName name="_xlnm.Print_Area" localSheetId="0">'7-11'!$A$1:$P$202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<sst xmlns="http://schemas.openxmlformats.org/spreadsheetml/2006/main" count="652" uniqueCount="119">
  <si>
    <t>Согласовано</t>
  </si>
  <si>
    <t>Утверждено</t>
  </si>
  <si>
    <t xml:space="preserve">__________________________________________________________ </t>
  </si>
  <si>
    <r>
      <rPr>
        <b/>
        <sz val="16"/>
        <color theme="1"/>
        <rFont val="Times New Roman"/>
        <charset val="204"/>
      </rPr>
      <t xml:space="preserve">Примерное меню приготовляемых блюд для обеспечения питания (завтрак, обед) обучающихся                                                                             </t>
    </r>
    <r>
      <rPr>
        <b/>
        <sz val="18"/>
        <color theme="1"/>
        <rFont val="Times New Roman"/>
        <charset val="204"/>
      </rPr>
      <t>с 7 до 11 лет</t>
    </r>
    <r>
      <rPr>
        <b/>
        <sz val="16"/>
        <color theme="1"/>
        <rFont val="Times New Roman"/>
        <charset val="204"/>
      </rPr>
      <t xml:space="preserve"> в образовательных учреждениях г. Выборга и Выборгского района Ленинградской области</t>
    </r>
  </si>
  <si>
    <t>Наименование</t>
  </si>
  <si>
    <t>Технологическая и нормативная документация/сборник рецептур</t>
  </si>
  <si>
    <t>№
рецептур или 
технологической 
карты</t>
  </si>
  <si>
    <t>Выход         в гр.</t>
  </si>
  <si>
    <t>Пищевая ценность</t>
  </si>
  <si>
    <t>Минеральные вещества</t>
  </si>
  <si>
    <t>Витамины</t>
  </si>
  <si>
    <t>Б</t>
  </si>
  <si>
    <t>Ж</t>
  </si>
  <si>
    <t>У</t>
  </si>
  <si>
    <t>ЭЦ</t>
  </si>
  <si>
    <t>Ca</t>
  </si>
  <si>
    <t>Mg</t>
  </si>
  <si>
    <t>Fe</t>
  </si>
  <si>
    <t>P</t>
  </si>
  <si>
    <t>B1</t>
  </si>
  <si>
    <t>C</t>
  </si>
  <si>
    <t>A</t>
  </si>
  <si>
    <t>Понедельник Первая неделя</t>
  </si>
  <si>
    <t>Завтрак</t>
  </si>
  <si>
    <t>Каша вязкая молочная из овсяных хлопьев «Геркулес» с маслом сливочным</t>
  </si>
  <si>
    <t>Сыр (порциями)</t>
  </si>
  <si>
    <t>Батон пшеничный в/с</t>
  </si>
  <si>
    <t>к/к</t>
  </si>
  <si>
    <t>Чай с сахаром</t>
  </si>
  <si>
    <t>Джем/Повидло</t>
  </si>
  <si>
    <t>Итого:</t>
  </si>
  <si>
    <t>Обед</t>
  </si>
  <si>
    <t>Суп картофельный с бобовыми и курой отварной</t>
  </si>
  <si>
    <t>Кура отварная</t>
  </si>
  <si>
    <t>Рассольник с курой</t>
  </si>
  <si>
    <t>Печень по-Строгановски</t>
  </si>
  <si>
    <t>Греча отварная рассыпчатая</t>
  </si>
  <si>
    <t>Томаты свежие порционно</t>
  </si>
  <si>
    <t>Хлеб пшеничный</t>
  </si>
  <si>
    <t>Хлеб ржано-пшеничный</t>
  </si>
  <si>
    <t>Компот из смеси сухофруктов</t>
  </si>
  <si>
    <t>Итого за день:</t>
  </si>
  <si>
    <t>Вторник Первая неделя</t>
  </si>
  <si>
    <t>Запеканка творожная с соусом молочным сладким № 327</t>
  </si>
  <si>
    <t>223/327</t>
  </si>
  <si>
    <t>Напиток кофейный на молоке</t>
  </si>
  <si>
    <t>Яблоко</t>
  </si>
  <si>
    <t xml:space="preserve">Суп картофельный с макаронными изделиями </t>
  </si>
  <si>
    <t>Суп картофельный с рыбными фрикадельками</t>
  </si>
  <si>
    <t>Котлета рыбная (минтай) с соусом №326</t>
  </si>
  <si>
    <t>239/326</t>
  </si>
  <si>
    <t>Рис отварной</t>
  </si>
  <si>
    <t>Салат витаминный (2 вариант)</t>
  </si>
  <si>
    <t>Чай с сахаром и лимоном</t>
  </si>
  <si>
    <t>Среда Первая неделя</t>
  </si>
  <si>
    <t>Каша молочная из риса и пшена «Дружба» с маслом сливочным</t>
  </si>
  <si>
    <t>Печенье затяжное</t>
  </si>
  <si>
    <t xml:space="preserve">Напиток из плодов шиповника </t>
  </si>
  <si>
    <t>Борщ с капустой и картофелем</t>
  </si>
  <si>
    <t>Суп с макаронными изделиями</t>
  </si>
  <si>
    <t>Плов из птицы</t>
  </si>
  <si>
    <t>Салат из моркови с яблоками</t>
  </si>
  <si>
    <t>Четверг Первая неделя</t>
  </si>
  <si>
    <t>Каша молочная жидкая из манной крупы с маслом</t>
  </si>
  <si>
    <t>Бутерброд с сыром</t>
  </si>
  <si>
    <t>Апельсин</t>
  </si>
  <si>
    <t xml:space="preserve">Суп из овощей </t>
  </si>
  <si>
    <t>Суп картофельный с крупой</t>
  </si>
  <si>
    <t>Котлеты, биточки, шницели с соусом №332</t>
  </si>
  <si>
    <t>268/332</t>
  </si>
  <si>
    <t>Картофель отварной с маслом растительным</t>
  </si>
  <si>
    <t>Салат из отварной свеклы</t>
  </si>
  <si>
    <t>Компот из свежих яблок</t>
  </si>
  <si>
    <t>Пятница Первая неделя</t>
  </si>
  <si>
    <t xml:space="preserve"> Каша молочная жидкая из гречневой крупы с маслом сливочным</t>
  </si>
  <si>
    <t>Какао на молоке</t>
  </si>
  <si>
    <t>Рассольник Ленинградский со сметаной</t>
  </si>
  <si>
    <t>Щи из свежей капусты</t>
  </si>
  <si>
    <t>Пюре картофельное</t>
  </si>
  <si>
    <t>Салат из квашеной капусты</t>
  </si>
  <si>
    <t>Среднее значение за неделю:</t>
  </si>
  <si>
    <t>Понедельник Вторая неделя</t>
  </si>
  <si>
    <t>Каша вязкая молочная из пшенной крупы с маслом</t>
  </si>
  <si>
    <t>Яйцо вареное</t>
  </si>
  <si>
    <t>Суп картофельный с бобовыми</t>
  </si>
  <si>
    <t>Рассольник домашний</t>
  </si>
  <si>
    <t>Салат из соленых огурцов</t>
  </si>
  <si>
    <t>Вторник Вторая неделя</t>
  </si>
  <si>
    <t>Запеканка рисовая с творогом и с соусом молочным сладким № 327</t>
  </si>
  <si>
    <t>Борщ Сибирский со сметаной</t>
  </si>
  <si>
    <t>Тефтели из куры в соусе №331</t>
  </si>
  <si>
    <t>297/331</t>
  </si>
  <si>
    <t>Макаронные изделия отварные</t>
  </si>
  <si>
    <t>Среда Вторая неделя</t>
  </si>
  <si>
    <t>Каша вязкая молочная рисовая с маслом</t>
  </si>
  <si>
    <t>Суп картофельный</t>
  </si>
  <si>
    <t>Рыба отварная</t>
  </si>
  <si>
    <t>Суп картоф. с рыб. фрикадельками</t>
  </si>
  <si>
    <t>Бефстроганов из куры</t>
  </si>
  <si>
    <t>Напиток цитрусовый</t>
  </si>
  <si>
    <t>Четверг Вторая неделя</t>
  </si>
  <si>
    <t>Щи из квашеной капусты с картофелем и сметаной</t>
  </si>
  <si>
    <t>Суп с крупой и курой</t>
  </si>
  <si>
    <t>Капуста тушеная</t>
  </si>
  <si>
    <t>Пятница Вторая неделя</t>
  </si>
  <si>
    <t>Заврак</t>
  </si>
  <si>
    <t>Борщ</t>
  </si>
  <si>
    <t xml:space="preserve">  </t>
  </si>
  <si>
    <t>Среднее значение за 10 дней:</t>
  </si>
  <si>
    <t xml:space="preserve">Источник рецептуры: Сборник рецептур на продукцию для обучающихся во всех образовательных учреждениях / Под ред. М.П. Могильного и В.А. Тутельяна. - М.: ДеЛи плюс, 2017. - 544 с.
</t>
  </si>
  <si>
    <r>
      <rPr>
        <b/>
        <sz val="16"/>
        <color theme="1"/>
        <rFont val="Times New Roman"/>
        <charset val="204"/>
      </rPr>
      <t xml:space="preserve">Примерное меню приготовляемых блюд для обеспечения питания (завтрак, обед) обучающихся                                                                             </t>
    </r>
    <r>
      <rPr>
        <b/>
        <sz val="18"/>
        <color theme="1"/>
        <rFont val="Times New Roman"/>
        <charset val="204"/>
      </rPr>
      <t>с 12 лет и старше</t>
    </r>
    <r>
      <rPr>
        <b/>
        <sz val="16"/>
        <color theme="1"/>
        <rFont val="Times New Roman"/>
        <charset val="204"/>
      </rPr>
      <t xml:space="preserve"> в образовательных учреждениях г. Выборга и Выборгского района Ленинградской области</t>
    </r>
  </si>
  <si>
    <t>Каша молочная жидкая из гречневой крупы с маслом сливочным</t>
  </si>
  <si>
    <t>Щи из квашеной капусты с картофелем и курой</t>
  </si>
  <si>
    <t>Суббота Первая неделя</t>
  </si>
  <si>
    <t>Бутерброд с джемом</t>
  </si>
  <si>
    <t>Салат из зеленого горошка</t>
  </si>
  <si>
    <t>Суббота Вторая неделя</t>
  </si>
  <si>
    <t xml:space="preserve">Салат из белокочанной капусты </t>
  </si>
  <si>
    <t>Среднее значение за 12 дней: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</si>
</sst>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 ##0.00\ _₽_-;\-* #\ ##0.00\ _₽_-;_-* &quot;-&quot;??\ _₽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38">
    <font>
      <sz val="11"/>
      <color theme="1"/>
      <name val="Calibri"/>
      <charset val="134"/>
      <scheme val="minor"/>
    </font>
    <font>
      <b/>
      <sz val="16"/>
      <color theme="1"/>
      <name val="Times New Roman"/>
      <charset val="204"/>
    </font>
    <font>
      <b/>
      <sz val="11"/>
      <color theme="1"/>
      <name val="Calibri"/>
      <charset val="134"/>
      <scheme val="minor"/>
    </font>
    <font>
      <b/>
      <sz val="11"/>
      <color theme="1"/>
      <name val="Times New Roman"/>
      <charset val="204"/>
    </font>
    <font>
      <sz val="11"/>
      <color theme="1"/>
      <name val="Times New Roman"/>
      <charset val="204"/>
    </font>
    <font>
      <sz val="16"/>
      <color theme="1"/>
      <name val="Times New Roman"/>
      <charset val="204"/>
    </font>
    <font>
      <b/>
      <sz val="10"/>
      <color theme="1"/>
      <name val="Times New Roman"/>
      <charset val="204"/>
    </font>
    <font>
      <sz val="11"/>
      <color rgb="FF13131B"/>
      <name val="Times New Roman"/>
      <charset val="204"/>
    </font>
    <font>
      <sz val="10"/>
      <color theme="1"/>
      <name val="Times New Roman"/>
      <charset val="204"/>
    </font>
    <font>
      <sz val="10.5"/>
      <color theme="1"/>
      <name val="Times New Roman"/>
      <charset val="204"/>
    </font>
    <font>
      <b/>
      <sz val="12"/>
      <color theme="1"/>
      <name val="Times New Roman"/>
      <charset val="204"/>
    </font>
    <font>
      <sz val="11"/>
      <color rgb="FF000000"/>
      <name val="Times New Roman"/>
      <charset val="204"/>
    </font>
    <font>
      <sz val="10.5"/>
      <color rgb="FF13131B"/>
      <name val="Times New Roman"/>
      <charset val="204"/>
    </font>
    <font>
      <sz val="12"/>
      <color theme="1"/>
      <name val="Times New Roman"/>
      <charset val="204"/>
    </font>
    <font>
      <b/>
      <sz val="10.5"/>
      <color theme="1"/>
      <name val="Times New Roman"/>
      <charset val="204"/>
    </font>
    <font>
      <sz val="10.5"/>
      <name val="Times New Roman"/>
      <charset val="204"/>
    </font>
    <font>
      <sz val="10.5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1"/>
      <name val="Times New Roman"/>
      <charset val="20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8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4" borderId="1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7" applyNumberFormat="0" applyAlignment="0" applyProtection="0">
      <alignment vertical="center"/>
    </xf>
    <xf numFmtId="0" fontId="27" fillId="6" borderId="18" applyNumberFormat="0" applyAlignment="0" applyProtection="0">
      <alignment vertical="center"/>
    </xf>
    <xf numFmtId="0" fontId="28" fillId="6" borderId="17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</cellStyleXfs>
  <cellXfs count="182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/>
    </xf>
    <xf numFmtId="2" fontId="4" fillId="2" borderId="3" xfId="1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2" fontId="4" fillId="2" borderId="7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wrapText="1"/>
    </xf>
    <xf numFmtId="0" fontId="10" fillId="2" borderId="0" xfId="0" applyFont="1" applyFill="1" applyBorder="1" applyAlignment="1">
      <alignment horizontal="right" wrapText="1"/>
    </xf>
    <xf numFmtId="0" fontId="3" fillId="2" borderId="0" xfId="0" applyFont="1" applyFill="1" applyBorder="1" applyAlignment="1">
      <alignment wrapText="1"/>
    </xf>
    <xf numFmtId="0" fontId="3" fillId="2" borderId="0" xfId="0" applyFont="1" applyFill="1"/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/>
    </xf>
    <xf numFmtId="2" fontId="4" fillId="2" borderId="4" xfId="1" applyNumberFormat="1" applyFont="1" applyFill="1" applyBorder="1" applyAlignment="1">
      <alignment horizontal="center" vertical="center"/>
    </xf>
    <xf numFmtId="2" fontId="3" fillId="2" borderId="4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8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textRotation="90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4" fillId="2" borderId="0" xfId="0" applyFont="1" applyFill="1"/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2" fontId="4" fillId="2" borderId="3" xfId="0" applyNumberFormat="1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2" fontId="4" fillId="2" borderId="8" xfId="0" applyNumberFormat="1" applyFont="1" applyFill="1" applyBorder="1" applyAlignment="1">
      <alignment horizontal="center" vertical="center"/>
    </xf>
    <xf numFmtId="2" fontId="3" fillId="2" borderId="0" xfId="0" applyNumberFormat="1" applyFont="1" applyFill="1"/>
    <xf numFmtId="2" fontId="3" fillId="0" borderId="0" xfId="0" applyNumberFormat="1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 wrapText="1"/>
    </xf>
    <xf numFmtId="2" fontId="4" fillId="2" borderId="6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11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/>
    </xf>
    <xf numFmtId="2" fontId="11" fillId="2" borderId="6" xfId="0" applyNumberFormat="1" applyFont="1" applyFill="1" applyBorder="1" applyAlignment="1">
      <alignment horizontal="center"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2" fontId="4" fillId="2" borderId="11" xfId="1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2" fontId="4" fillId="2" borderId="11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2" fontId="9" fillId="2" borderId="4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0" fillId="0" borderId="0" xfId="0" applyBorder="1"/>
    <xf numFmtId="0" fontId="0" fillId="3" borderId="0" xfId="0" applyFill="1"/>
    <xf numFmtId="0" fontId="0" fillId="0" borderId="0" xfId="0" applyFont="1"/>
    <xf numFmtId="0" fontId="10" fillId="2" borderId="0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wrapText="1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wrapText="1"/>
    </xf>
    <xf numFmtId="0" fontId="9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2" fontId="9" fillId="2" borderId="7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2" fontId="14" fillId="2" borderId="3" xfId="0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/>
    </xf>
    <xf numFmtId="0" fontId="12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left" wrapText="1"/>
    </xf>
    <xf numFmtId="2" fontId="15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2" fontId="9" fillId="2" borderId="3" xfId="1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/>
    </xf>
    <xf numFmtId="2" fontId="14" fillId="2" borderId="4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2" fontId="9" fillId="2" borderId="6" xfId="0" applyNumberFormat="1" applyFont="1" applyFill="1" applyBorder="1" applyAlignment="1">
      <alignment horizontal="center" vertical="center"/>
    </xf>
    <xf numFmtId="2" fontId="9" fillId="2" borderId="1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2" fontId="9" fillId="2" borderId="4" xfId="1" applyNumberFormat="1" applyFont="1" applyFill="1" applyBorder="1" applyAlignment="1">
      <alignment horizontal="center" vertical="center"/>
    </xf>
    <xf numFmtId="2" fontId="9" fillId="2" borderId="3" xfId="0" applyNumberFormat="1" applyFont="1" applyFill="1" applyBorder="1" applyAlignment="1">
      <alignment horizontal="center" vertical="center" wrapText="1"/>
    </xf>
    <xf numFmtId="2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wrapText="1"/>
    </xf>
    <xf numFmtId="0" fontId="14" fillId="2" borderId="7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/>
    </xf>
    <xf numFmtId="2" fontId="9" fillId="2" borderId="3" xfId="0" applyNumberFormat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1" applyNumberFormat="1" applyFont="1" applyFill="1" applyBorder="1" applyAlignment="1">
      <alignment horizontal="center" vertical="center"/>
    </xf>
    <xf numFmtId="2" fontId="9" fillId="2" borderId="6" xfId="0" applyNumberFormat="1" applyFont="1" applyFill="1" applyBorder="1" applyAlignment="1">
      <alignment horizontal="center" vertical="center" wrapText="1"/>
    </xf>
    <xf numFmtId="0" fontId="9" fillId="2" borderId="3" xfId="1" applyNumberFormat="1" applyFont="1" applyFill="1" applyBorder="1" applyAlignment="1">
      <alignment horizontal="center" vertical="center"/>
    </xf>
    <xf numFmtId="2" fontId="9" fillId="2" borderId="6" xfId="1" applyNumberFormat="1" applyFont="1" applyFill="1" applyBorder="1" applyAlignment="1">
      <alignment horizontal="center" vertical="center"/>
    </xf>
    <xf numFmtId="2" fontId="16" fillId="2" borderId="3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/>
    <xf numFmtId="0" fontId="9" fillId="2" borderId="0" xfId="0" applyFont="1" applyFill="1"/>
    <xf numFmtId="2" fontId="16" fillId="2" borderId="6" xfId="0" applyNumberFormat="1" applyFont="1" applyFill="1" applyBorder="1" applyAlignment="1">
      <alignment horizontal="center" vertical="center" wrapText="1"/>
    </xf>
    <xf numFmtId="2" fontId="9" fillId="2" borderId="11" xfId="0" applyNumberFormat="1" applyFont="1" applyFill="1" applyBorder="1" applyAlignment="1">
      <alignment horizontal="center" vertical="center" wrapText="1"/>
    </xf>
    <xf numFmtId="2" fontId="9" fillId="2" borderId="11" xfId="1" applyNumberFormat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12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textRotation="90"/>
    </xf>
    <xf numFmtId="0" fontId="14" fillId="2" borderId="3" xfId="0" applyFont="1" applyFill="1" applyBorder="1"/>
    <xf numFmtId="2" fontId="14" fillId="2" borderId="3" xfId="0" applyNumberFormat="1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02"/>
  <sheetViews>
    <sheetView tabSelected="1" view="pageBreakPreview" zoomScaleNormal="100" workbookViewId="0">
      <selection activeCell="I2" sqref="I2:P4"/>
    </sheetView>
  </sheetViews>
  <sheetFormatPr defaultColWidth="9" defaultRowHeight="15"/>
  <cols>
    <col min="1" max="1" width="36.3333333333333" customWidth="1"/>
    <col min="2" max="2" width="13.3333333333333" style="6" customWidth="1"/>
    <col min="3" max="3" width="12" style="6" customWidth="1"/>
    <col min="4" max="4" width="9.66666666666667" style="6" customWidth="1"/>
    <col min="5" max="15" width="8.88571428571429" style="6"/>
    <col min="16" max="16" width="3.33333333333333" style="2" customWidth="1"/>
  </cols>
  <sheetData>
    <row r="1" s="107" customFormat="1" ht="15.75" spans="1:16">
      <c r="A1" s="110" t="s">
        <v>0</v>
      </c>
      <c r="B1" s="110"/>
      <c r="C1" s="110"/>
      <c r="D1" s="111"/>
      <c r="E1" s="111"/>
      <c r="F1" s="111"/>
      <c r="G1" s="111"/>
      <c r="H1" s="111"/>
      <c r="I1" s="55" t="s">
        <v>1</v>
      </c>
      <c r="J1" s="55"/>
      <c r="K1" s="55"/>
      <c r="L1" s="55"/>
      <c r="M1" s="55"/>
      <c r="N1" s="55"/>
      <c r="O1" s="55"/>
      <c r="P1" s="55"/>
    </row>
    <row r="2" ht="15.6" customHeight="1" spans="1:16">
      <c r="A2" s="112"/>
      <c r="B2" s="112"/>
      <c r="C2" s="112"/>
      <c r="D2" s="111"/>
      <c r="E2" s="111"/>
      <c r="F2" s="111"/>
      <c r="G2" s="111"/>
      <c r="H2" s="111"/>
      <c r="I2" s="55" t="s">
        <v>2</v>
      </c>
      <c r="J2" s="55"/>
      <c r="K2" s="55"/>
      <c r="L2" s="55"/>
      <c r="M2" s="55"/>
      <c r="N2" s="55"/>
      <c r="O2" s="55"/>
      <c r="P2" s="55"/>
    </row>
    <row r="3" ht="15.6" customHeight="1" spans="1:16">
      <c r="A3" s="113"/>
      <c r="B3" s="113"/>
      <c r="C3" s="113"/>
      <c r="D3" s="111"/>
      <c r="E3" s="111"/>
      <c r="F3" s="111"/>
      <c r="G3" s="111"/>
      <c r="H3" s="111"/>
      <c r="I3" s="55" t="s">
        <v>2</v>
      </c>
      <c r="J3" s="55"/>
      <c r="K3" s="55"/>
      <c r="L3" s="55"/>
      <c r="M3" s="55"/>
      <c r="N3" s="55"/>
      <c r="O3" s="55"/>
      <c r="P3" s="55"/>
    </row>
    <row r="4" ht="15.75" spans="1:16">
      <c r="A4" s="113"/>
      <c r="B4" s="113"/>
      <c r="C4" s="113"/>
      <c r="D4" s="111"/>
      <c r="E4" s="111"/>
      <c r="F4" s="111"/>
      <c r="G4" s="111"/>
      <c r="H4" s="111"/>
      <c r="I4" s="55" t="s">
        <v>2</v>
      </c>
      <c r="J4" s="55"/>
      <c r="K4" s="55"/>
      <c r="L4" s="55"/>
      <c r="M4" s="55"/>
      <c r="N4" s="55"/>
      <c r="O4" s="55"/>
      <c r="P4" s="55"/>
    </row>
    <row r="5" ht="7.2" customHeight="1" spans="1:16">
      <c r="A5" s="11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56"/>
    </row>
    <row r="6" s="1" customFormat="1" ht="20.25" spans="1:16">
      <c r="A6" s="13" t="s">
        <v>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="1" customFormat="1" ht="30" customHeight="1" spans="1:16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ht="15.6" customHeight="1" spans="1:16">
      <c r="A8" s="15" t="s">
        <v>4</v>
      </c>
      <c r="B8" s="16" t="s">
        <v>5</v>
      </c>
      <c r="C8" s="16" t="s">
        <v>6</v>
      </c>
      <c r="D8" s="16" t="s">
        <v>7</v>
      </c>
      <c r="E8" s="15" t="s">
        <v>8</v>
      </c>
      <c r="F8" s="15"/>
      <c r="G8" s="15"/>
      <c r="H8" s="15"/>
      <c r="I8" s="15" t="s">
        <v>9</v>
      </c>
      <c r="J8" s="15"/>
      <c r="K8" s="15"/>
      <c r="L8" s="15"/>
      <c r="M8" s="15" t="s">
        <v>10</v>
      </c>
      <c r="N8" s="15"/>
      <c r="O8" s="15"/>
      <c r="P8" s="57"/>
    </row>
    <row r="9" ht="70.95" customHeight="1" spans="1:16">
      <c r="A9" s="15"/>
      <c r="B9" s="16"/>
      <c r="C9" s="16"/>
      <c r="D9" s="16"/>
      <c r="E9" s="15" t="s">
        <v>11</v>
      </c>
      <c r="F9" s="15" t="s">
        <v>12</v>
      </c>
      <c r="G9" s="15" t="s">
        <v>13</v>
      </c>
      <c r="H9" s="15" t="s">
        <v>14</v>
      </c>
      <c r="I9" s="15" t="s">
        <v>15</v>
      </c>
      <c r="J9" s="15" t="s">
        <v>16</v>
      </c>
      <c r="K9" s="15" t="s">
        <v>17</v>
      </c>
      <c r="L9" s="15" t="s">
        <v>18</v>
      </c>
      <c r="M9" s="15" t="s">
        <v>19</v>
      </c>
      <c r="N9" s="15" t="s">
        <v>20</v>
      </c>
      <c r="O9" s="15" t="s">
        <v>21</v>
      </c>
      <c r="P9" s="57"/>
    </row>
    <row r="10" ht="15.6" customHeight="1" spans="1:16">
      <c r="A10" s="115" t="s">
        <v>22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41"/>
      <c r="P10" s="57"/>
    </row>
    <row r="11" ht="15.6" customHeight="1" spans="1:16">
      <c r="A11" s="115" t="s">
        <v>23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41"/>
      <c r="P11" s="57"/>
    </row>
    <row r="12" ht="29.4" customHeight="1" spans="1:16">
      <c r="A12" s="117" t="s">
        <v>24</v>
      </c>
      <c r="B12" s="96">
        <v>2017</v>
      </c>
      <c r="C12" s="96">
        <v>173</v>
      </c>
      <c r="D12" s="118">
        <v>210</v>
      </c>
      <c r="E12" s="97">
        <v>7.04</v>
      </c>
      <c r="F12" s="97">
        <v>10.42</v>
      </c>
      <c r="G12" s="97">
        <v>22.12</v>
      </c>
      <c r="H12" s="97">
        <v>193.64</v>
      </c>
      <c r="I12" s="97">
        <v>158.65</v>
      </c>
      <c r="J12" s="97">
        <v>57.64</v>
      </c>
      <c r="K12" s="97">
        <v>1.41</v>
      </c>
      <c r="L12" s="97">
        <v>66.37</v>
      </c>
      <c r="M12" s="97">
        <v>0.21</v>
      </c>
      <c r="N12" s="97">
        <v>0.525</v>
      </c>
      <c r="O12" s="97">
        <v>17.67</v>
      </c>
      <c r="P12" s="59" t="s">
        <v>22</v>
      </c>
    </row>
    <row r="13" spans="1:16">
      <c r="A13" s="49" t="s">
        <v>25</v>
      </c>
      <c r="B13" s="96">
        <v>2017</v>
      </c>
      <c r="C13" s="96">
        <v>15</v>
      </c>
      <c r="D13" s="118">
        <v>15</v>
      </c>
      <c r="E13" s="97">
        <v>3.48</v>
      </c>
      <c r="F13" s="97">
        <v>4.43</v>
      </c>
      <c r="G13" s="97">
        <v>0</v>
      </c>
      <c r="H13" s="97">
        <v>54.6</v>
      </c>
      <c r="I13" s="97">
        <v>132</v>
      </c>
      <c r="J13" s="97">
        <v>5.25</v>
      </c>
      <c r="K13" s="97">
        <v>0.15</v>
      </c>
      <c r="L13" s="97">
        <v>75</v>
      </c>
      <c r="M13" s="97">
        <v>0.01</v>
      </c>
      <c r="N13" s="97">
        <v>0.11</v>
      </c>
      <c r="O13" s="104">
        <v>39</v>
      </c>
      <c r="P13" s="59"/>
    </row>
    <row r="14" spans="1:16">
      <c r="A14" s="49" t="s">
        <v>26</v>
      </c>
      <c r="B14" s="96" t="s">
        <v>27</v>
      </c>
      <c r="C14" s="96" t="s">
        <v>27</v>
      </c>
      <c r="D14" s="118">
        <v>60</v>
      </c>
      <c r="E14" s="97">
        <v>4.74</v>
      </c>
      <c r="F14" s="97">
        <v>0.6</v>
      </c>
      <c r="G14" s="97">
        <v>28.98</v>
      </c>
      <c r="H14" s="97">
        <v>140.28</v>
      </c>
      <c r="I14" s="97">
        <v>13.8</v>
      </c>
      <c r="J14" s="97">
        <v>19.8</v>
      </c>
      <c r="K14" s="97">
        <v>0.66</v>
      </c>
      <c r="L14" s="97">
        <v>52.2</v>
      </c>
      <c r="M14" s="97">
        <v>0.1</v>
      </c>
      <c r="N14" s="97">
        <v>0</v>
      </c>
      <c r="O14" s="104">
        <v>0</v>
      </c>
      <c r="P14" s="59"/>
    </row>
    <row r="15" spans="1:16">
      <c r="A15" s="49" t="s">
        <v>28</v>
      </c>
      <c r="B15" s="50">
        <v>2017</v>
      </c>
      <c r="C15" s="50">
        <v>376</v>
      </c>
      <c r="D15" s="118">
        <v>200</v>
      </c>
      <c r="E15" s="97">
        <v>0.2</v>
      </c>
      <c r="F15" s="97">
        <v>0</v>
      </c>
      <c r="G15" s="97">
        <v>14</v>
      </c>
      <c r="H15" s="97">
        <v>28</v>
      </c>
      <c r="I15" s="97">
        <v>6</v>
      </c>
      <c r="J15" s="97">
        <v>0</v>
      </c>
      <c r="K15" s="97">
        <v>0.4</v>
      </c>
      <c r="L15" s="97">
        <v>0</v>
      </c>
      <c r="M15" s="97">
        <v>0</v>
      </c>
      <c r="N15" s="97">
        <v>0</v>
      </c>
      <c r="O15" s="97">
        <v>0</v>
      </c>
      <c r="P15" s="59"/>
    </row>
    <row r="16" spans="1:16">
      <c r="A16" s="119" t="s">
        <v>29</v>
      </c>
      <c r="B16" s="96" t="s">
        <v>27</v>
      </c>
      <c r="C16" s="96" t="s">
        <v>27</v>
      </c>
      <c r="D16" s="120">
        <v>20</v>
      </c>
      <c r="E16" s="97">
        <v>0.1</v>
      </c>
      <c r="F16" s="97">
        <v>0</v>
      </c>
      <c r="G16" s="97">
        <v>14.32</v>
      </c>
      <c r="H16" s="97">
        <v>57.68</v>
      </c>
      <c r="I16" s="97">
        <v>2.4</v>
      </c>
      <c r="J16" s="97">
        <v>1.8</v>
      </c>
      <c r="K16" s="97">
        <v>0.08</v>
      </c>
      <c r="L16" s="97">
        <v>3.6</v>
      </c>
      <c r="M16" s="97">
        <v>0</v>
      </c>
      <c r="N16" s="97">
        <v>0.48</v>
      </c>
      <c r="O16" s="97">
        <v>0</v>
      </c>
      <c r="P16" s="59"/>
    </row>
    <row r="17" spans="1:16">
      <c r="A17" s="49" t="s">
        <v>30</v>
      </c>
      <c r="B17" s="51"/>
      <c r="C17" s="51"/>
      <c r="D17" s="97">
        <v>505</v>
      </c>
      <c r="E17" s="97">
        <f>SUM(E12:E16)</f>
        <v>15.56</v>
      </c>
      <c r="F17" s="97">
        <f>SUM(F12:F16)</f>
        <v>15.45</v>
      </c>
      <c r="G17" s="97">
        <f>SUM(G12:G16)</f>
        <v>79.42</v>
      </c>
      <c r="H17" s="97">
        <f>SUM(H12:H16)</f>
        <v>474.2</v>
      </c>
      <c r="I17" s="97">
        <v>312.85</v>
      </c>
      <c r="J17" s="97">
        <f>SUM(J12:J16)</f>
        <v>84.49</v>
      </c>
      <c r="K17" s="97">
        <f>SUM(K12:K16)</f>
        <v>2.7</v>
      </c>
      <c r="L17" s="97">
        <v>197.17</v>
      </c>
      <c r="M17" s="97">
        <v>0.32</v>
      </c>
      <c r="N17" s="97">
        <v>1.115</v>
      </c>
      <c r="O17" s="104">
        <v>56.67</v>
      </c>
      <c r="P17" s="59"/>
    </row>
    <row r="18" spans="1:16">
      <c r="A18" s="121" t="s">
        <v>31</v>
      </c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42"/>
      <c r="P18" s="59"/>
    </row>
    <row r="19" ht="27" spans="1:16">
      <c r="A19" s="122" t="s">
        <v>32</v>
      </c>
      <c r="B19" s="50">
        <v>2017</v>
      </c>
      <c r="C19" s="50">
        <v>102</v>
      </c>
      <c r="D19" s="96">
        <v>200</v>
      </c>
      <c r="E19" s="97">
        <v>4.39</v>
      </c>
      <c r="F19" s="97">
        <v>4.22</v>
      </c>
      <c r="G19" s="97">
        <v>13.06</v>
      </c>
      <c r="H19" s="97">
        <v>107.8</v>
      </c>
      <c r="I19" s="97">
        <v>30.46</v>
      </c>
      <c r="J19" s="97">
        <v>22.24</v>
      </c>
      <c r="K19" s="97">
        <v>1.62</v>
      </c>
      <c r="L19" s="97">
        <v>69.74</v>
      </c>
      <c r="M19" s="97">
        <v>0.18</v>
      </c>
      <c r="N19" s="97">
        <v>4.65</v>
      </c>
      <c r="O19" s="104">
        <v>0</v>
      </c>
      <c r="P19" s="59"/>
    </row>
    <row r="20" spans="1:16">
      <c r="A20" s="123" t="s">
        <v>33</v>
      </c>
      <c r="B20" s="50">
        <v>2017</v>
      </c>
      <c r="C20" s="50">
        <v>288</v>
      </c>
      <c r="D20" s="96">
        <v>10</v>
      </c>
      <c r="E20" s="97">
        <v>2.11</v>
      </c>
      <c r="F20" s="97">
        <v>1.36</v>
      </c>
      <c r="G20" s="97">
        <v>0</v>
      </c>
      <c r="H20" s="97">
        <v>20.67</v>
      </c>
      <c r="I20" s="97">
        <v>3.9</v>
      </c>
      <c r="J20" s="97">
        <v>2</v>
      </c>
      <c r="K20" s="97">
        <v>0.18</v>
      </c>
      <c r="L20" s="97">
        <v>14.3</v>
      </c>
      <c r="M20" s="97">
        <v>0.04</v>
      </c>
      <c r="N20" s="97">
        <v>0</v>
      </c>
      <c r="O20" s="104">
        <v>2.28</v>
      </c>
      <c r="P20" s="59"/>
    </row>
    <row r="21" spans="1:16">
      <c r="A21" s="123" t="s">
        <v>34</v>
      </c>
      <c r="B21" s="50">
        <v>2004</v>
      </c>
      <c r="C21" s="50">
        <v>130</v>
      </c>
      <c r="D21" s="96">
        <v>210</v>
      </c>
      <c r="E21" s="97">
        <v>4.1</v>
      </c>
      <c r="F21" s="97">
        <v>4.5</v>
      </c>
      <c r="G21" s="97">
        <v>13.6</v>
      </c>
      <c r="H21" s="97">
        <v>104</v>
      </c>
      <c r="I21" s="97">
        <v>16.55</v>
      </c>
      <c r="J21" s="97">
        <v>28</v>
      </c>
      <c r="K21" s="97">
        <v>1.03</v>
      </c>
      <c r="L21" s="97">
        <v>34.95</v>
      </c>
      <c r="M21" s="97">
        <v>0.15</v>
      </c>
      <c r="N21" s="97">
        <v>14.3</v>
      </c>
      <c r="O21" s="104">
        <v>0</v>
      </c>
      <c r="P21" s="59"/>
    </row>
    <row r="22" spans="1:16">
      <c r="A22" s="122" t="s">
        <v>35</v>
      </c>
      <c r="B22" s="50">
        <v>2017</v>
      </c>
      <c r="C22" s="50">
        <v>255</v>
      </c>
      <c r="D22" s="96">
        <v>90</v>
      </c>
      <c r="E22" s="97">
        <v>9.93</v>
      </c>
      <c r="F22" s="97">
        <v>10.107</v>
      </c>
      <c r="G22" s="97">
        <v>3.168</v>
      </c>
      <c r="H22" s="97">
        <v>166.5</v>
      </c>
      <c r="I22" s="97">
        <v>29.916</v>
      </c>
      <c r="J22" s="97">
        <v>15.723</v>
      </c>
      <c r="K22" s="97">
        <v>4.27</v>
      </c>
      <c r="L22" s="97">
        <v>215.388</v>
      </c>
      <c r="M22" s="97">
        <v>0.18</v>
      </c>
      <c r="N22" s="97">
        <v>7.605</v>
      </c>
      <c r="O22" s="104">
        <v>321.327</v>
      </c>
      <c r="P22" s="59"/>
    </row>
    <row r="23" s="108" customFormat="1" spans="1:16">
      <c r="A23" s="122" t="s">
        <v>36</v>
      </c>
      <c r="B23" s="50">
        <v>2017</v>
      </c>
      <c r="C23" s="50">
        <v>302</v>
      </c>
      <c r="D23" s="96">
        <v>150</v>
      </c>
      <c r="E23" s="97">
        <v>3.83</v>
      </c>
      <c r="F23" s="97">
        <v>5.17</v>
      </c>
      <c r="G23" s="97">
        <v>35.84</v>
      </c>
      <c r="H23" s="97">
        <v>230.45</v>
      </c>
      <c r="I23" s="97">
        <v>12.98</v>
      </c>
      <c r="J23" s="97">
        <v>29.46</v>
      </c>
      <c r="K23" s="97">
        <v>3.95</v>
      </c>
      <c r="L23" s="97">
        <v>108.5</v>
      </c>
      <c r="M23" s="97">
        <v>0.1</v>
      </c>
      <c r="N23" s="97">
        <v>0</v>
      </c>
      <c r="O23" s="104">
        <v>0.0228</v>
      </c>
      <c r="P23" s="59"/>
    </row>
    <row r="24" spans="1:16">
      <c r="A24" s="19" t="s">
        <v>37</v>
      </c>
      <c r="B24" s="24">
        <v>2017</v>
      </c>
      <c r="C24" s="24">
        <v>71</v>
      </c>
      <c r="D24" s="33">
        <v>60</v>
      </c>
      <c r="E24" s="34">
        <v>2.16</v>
      </c>
      <c r="F24" s="34">
        <v>4.04</v>
      </c>
      <c r="G24" s="34">
        <v>1.01</v>
      </c>
      <c r="H24" s="34">
        <v>48.79</v>
      </c>
      <c r="I24" s="34">
        <v>13.8</v>
      </c>
      <c r="J24" s="34">
        <v>7</v>
      </c>
      <c r="K24" s="34">
        <v>0.42</v>
      </c>
      <c r="L24" s="34">
        <v>12</v>
      </c>
      <c r="M24" s="34">
        <v>0</v>
      </c>
      <c r="N24" s="34">
        <v>14.4</v>
      </c>
      <c r="O24" s="61">
        <v>0</v>
      </c>
      <c r="P24" s="59"/>
    </row>
    <row r="25" ht="14.4" customHeight="1" spans="1:16">
      <c r="A25" s="122" t="s">
        <v>38</v>
      </c>
      <c r="B25" s="50" t="s">
        <v>27</v>
      </c>
      <c r="C25" s="50" t="s">
        <v>27</v>
      </c>
      <c r="D25" s="96">
        <v>20</v>
      </c>
      <c r="E25" s="97">
        <v>1.58</v>
      </c>
      <c r="F25" s="97">
        <v>0.2</v>
      </c>
      <c r="G25" s="97">
        <v>9.66</v>
      </c>
      <c r="H25" s="97">
        <v>46.76</v>
      </c>
      <c r="I25" s="97">
        <v>4.6</v>
      </c>
      <c r="J25" s="97">
        <v>6.6</v>
      </c>
      <c r="K25" s="97">
        <v>0.22</v>
      </c>
      <c r="L25" s="97">
        <v>17.4</v>
      </c>
      <c r="M25" s="97">
        <v>0.08</v>
      </c>
      <c r="N25" s="97">
        <v>0</v>
      </c>
      <c r="O25" s="104">
        <v>0</v>
      </c>
      <c r="P25" s="59"/>
    </row>
    <row r="26" ht="14.4" customHeight="1" spans="1:16">
      <c r="A26" s="122" t="s">
        <v>39</v>
      </c>
      <c r="B26" s="50" t="s">
        <v>27</v>
      </c>
      <c r="C26" s="50" t="s">
        <v>27</v>
      </c>
      <c r="D26" s="50">
        <v>40</v>
      </c>
      <c r="E26" s="97">
        <v>2.24</v>
      </c>
      <c r="F26" s="97">
        <v>0.44</v>
      </c>
      <c r="G26" s="97">
        <v>19.76</v>
      </c>
      <c r="H26" s="97">
        <v>91.96</v>
      </c>
      <c r="I26" s="97">
        <v>9.2</v>
      </c>
      <c r="J26" s="97">
        <v>10</v>
      </c>
      <c r="K26" s="97">
        <v>1.24</v>
      </c>
      <c r="L26" s="97">
        <v>42.4</v>
      </c>
      <c r="M26" s="97">
        <v>0.04</v>
      </c>
      <c r="N26" s="97">
        <v>0</v>
      </c>
      <c r="O26" s="104">
        <v>0</v>
      </c>
      <c r="P26" s="59"/>
    </row>
    <row r="27" spans="1:16">
      <c r="A27" s="124" t="s">
        <v>40</v>
      </c>
      <c r="B27" s="125">
        <v>2017</v>
      </c>
      <c r="C27" s="125">
        <v>349</v>
      </c>
      <c r="D27" s="125">
        <v>200</v>
      </c>
      <c r="E27" s="126">
        <v>0.04</v>
      </c>
      <c r="F27" s="126">
        <v>0</v>
      </c>
      <c r="G27" s="126">
        <v>24.76</v>
      </c>
      <c r="H27" s="126">
        <v>94.2</v>
      </c>
      <c r="I27" s="126">
        <v>6.4</v>
      </c>
      <c r="J27" s="126">
        <v>0</v>
      </c>
      <c r="K27" s="126">
        <v>0.18</v>
      </c>
      <c r="L27" s="126">
        <v>3.6</v>
      </c>
      <c r="M27" s="126">
        <v>0.01</v>
      </c>
      <c r="N27" s="126">
        <v>1.08</v>
      </c>
      <c r="O27" s="126">
        <v>0</v>
      </c>
      <c r="P27" s="59"/>
    </row>
    <row r="28" s="109" customFormat="1" spans="1:16">
      <c r="A28" s="122" t="s">
        <v>30</v>
      </c>
      <c r="B28" s="50"/>
      <c r="C28" s="50"/>
      <c r="D28" s="51">
        <f t="shared" ref="D28:O28" si="0">SUM(D19:D27)</f>
        <v>980</v>
      </c>
      <c r="E28" s="97">
        <f t="shared" si="0"/>
        <v>30.38</v>
      </c>
      <c r="F28" s="97">
        <f t="shared" si="0"/>
        <v>30.037</v>
      </c>
      <c r="G28" s="97">
        <f t="shared" si="0"/>
        <v>120.858</v>
      </c>
      <c r="H28" s="97">
        <f t="shared" si="0"/>
        <v>911.13</v>
      </c>
      <c r="I28" s="97">
        <f t="shared" si="0"/>
        <v>127.806</v>
      </c>
      <c r="J28" s="97">
        <f t="shared" si="0"/>
        <v>121.023</v>
      </c>
      <c r="K28" s="97">
        <f t="shared" si="0"/>
        <v>13.11</v>
      </c>
      <c r="L28" s="97">
        <f t="shared" si="0"/>
        <v>518.278</v>
      </c>
      <c r="M28" s="97">
        <f t="shared" si="0"/>
        <v>0.78</v>
      </c>
      <c r="N28" s="97">
        <f t="shared" si="0"/>
        <v>42.035</v>
      </c>
      <c r="O28" s="104">
        <f t="shared" si="0"/>
        <v>323.6298</v>
      </c>
      <c r="P28" s="59"/>
    </row>
    <row r="29" s="2" customFormat="1" spans="1:16">
      <c r="A29" s="127" t="s">
        <v>41</v>
      </c>
      <c r="B29" s="128"/>
      <c r="C29" s="128"/>
      <c r="D29" s="129">
        <f t="shared" ref="D29:O29" si="1">D28+D17</f>
        <v>1485</v>
      </c>
      <c r="E29" s="129">
        <f t="shared" si="1"/>
        <v>45.94</v>
      </c>
      <c r="F29" s="129">
        <f t="shared" si="1"/>
        <v>45.487</v>
      </c>
      <c r="G29" s="129">
        <f t="shared" si="1"/>
        <v>200.278</v>
      </c>
      <c r="H29" s="129">
        <f t="shared" si="1"/>
        <v>1385.33</v>
      </c>
      <c r="I29" s="129">
        <f t="shared" si="1"/>
        <v>440.656</v>
      </c>
      <c r="J29" s="129">
        <f t="shared" si="1"/>
        <v>205.513</v>
      </c>
      <c r="K29" s="129">
        <f t="shared" si="1"/>
        <v>15.81</v>
      </c>
      <c r="L29" s="129">
        <f t="shared" si="1"/>
        <v>715.448</v>
      </c>
      <c r="M29" s="129">
        <f t="shared" si="1"/>
        <v>1.1</v>
      </c>
      <c r="N29" s="129">
        <f t="shared" si="1"/>
        <v>43.15</v>
      </c>
      <c r="O29" s="143">
        <f t="shared" si="1"/>
        <v>380.2998</v>
      </c>
      <c r="P29" s="59"/>
    </row>
    <row r="30" s="2" customFormat="1" spans="1:16">
      <c r="A30" s="130" t="s">
        <v>42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63"/>
    </row>
    <row r="31" s="2" customFormat="1" spans="1:16">
      <c r="A31" s="131" t="s">
        <v>23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44"/>
      <c r="P31" s="57"/>
    </row>
    <row r="32" ht="27" spans="1:16">
      <c r="A32" s="117" t="s">
        <v>43</v>
      </c>
      <c r="B32" s="50">
        <v>2017</v>
      </c>
      <c r="C32" s="50" t="s">
        <v>44</v>
      </c>
      <c r="D32" s="51">
        <v>200</v>
      </c>
      <c r="E32" s="51">
        <v>12.45</v>
      </c>
      <c r="F32" s="51">
        <v>11.28</v>
      </c>
      <c r="G32" s="51">
        <v>35.76</v>
      </c>
      <c r="H32" s="51">
        <v>295.06</v>
      </c>
      <c r="I32" s="97">
        <v>264.41</v>
      </c>
      <c r="J32" s="97">
        <v>38.68</v>
      </c>
      <c r="K32" s="97">
        <v>0.91</v>
      </c>
      <c r="L32" s="97">
        <v>330.96</v>
      </c>
      <c r="M32" s="97">
        <v>0.06</v>
      </c>
      <c r="N32" s="97">
        <v>0.29</v>
      </c>
      <c r="O32" s="104">
        <f>91*1.14</f>
        <v>103.74</v>
      </c>
      <c r="P32" s="65" t="s">
        <v>42</v>
      </c>
    </row>
    <row r="33" spans="1:16">
      <c r="A33" s="49" t="s">
        <v>26</v>
      </c>
      <c r="B33" s="51" t="s">
        <v>27</v>
      </c>
      <c r="C33" s="51" t="s">
        <v>27</v>
      </c>
      <c r="D33" s="118">
        <v>30</v>
      </c>
      <c r="E33" s="97">
        <f>4.74/2</f>
        <v>2.37</v>
      </c>
      <c r="F33" s="97">
        <v>0.3</v>
      </c>
      <c r="G33" s="97">
        <f>28.98/2</f>
        <v>14.49</v>
      </c>
      <c r="H33" s="97">
        <v>70.14</v>
      </c>
      <c r="I33" s="97">
        <f>13.8/2</f>
        <v>6.9</v>
      </c>
      <c r="J33" s="97">
        <f>19.8/2</f>
        <v>9.9</v>
      </c>
      <c r="K33" s="97">
        <v>0.33</v>
      </c>
      <c r="L33" s="97">
        <f>52.2/2</f>
        <v>26.1</v>
      </c>
      <c r="M33" s="97">
        <v>0.05</v>
      </c>
      <c r="N33" s="97">
        <v>0</v>
      </c>
      <c r="O33" s="104">
        <v>0</v>
      </c>
      <c r="P33" s="66"/>
    </row>
    <row r="34" ht="12" customHeight="1" spans="1:16">
      <c r="A34" s="132" t="s">
        <v>45</v>
      </c>
      <c r="B34" s="51">
        <v>2017</v>
      </c>
      <c r="C34" s="51">
        <v>379</v>
      </c>
      <c r="D34" s="51">
        <v>200</v>
      </c>
      <c r="E34" s="97">
        <v>3.6</v>
      </c>
      <c r="F34" s="97">
        <v>2.67</v>
      </c>
      <c r="G34" s="97">
        <v>29.2</v>
      </c>
      <c r="H34" s="97">
        <v>155.2</v>
      </c>
      <c r="I34" s="97">
        <v>158.67</v>
      </c>
      <c r="J34" s="97">
        <v>6.8</v>
      </c>
      <c r="K34" s="97">
        <v>0.22</v>
      </c>
      <c r="L34" s="97">
        <v>82.4</v>
      </c>
      <c r="M34" s="97">
        <v>0.07</v>
      </c>
      <c r="N34" s="97">
        <v>1.17</v>
      </c>
      <c r="O34" s="104">
        <f>6*1.14</f>
        <v>6.84</v>
      </c>
      <c r="P34" s="66"/>
    </row>
    <row r="35" spans="1:16">
      <c r="A35" s="49" t="s">
        <v>46</v>
      </c>
      <c r="B35" s="51">
        <v>2017</v>
      </c>
      <c r="C35" s="51">
        <v>338</v>
      </c>
      <c r="D35" s="118">
        <v>100</v>
      </c>
      <c r="E35" s="97">
        <v>0.8</v>
      </c>
      <c r="F35" s="97">
        <v>5.5</v>
      </c>
      <c r="G35" s="97">
        <v>4.3</v>
      </c>
      <c r="H35" s="97">
        <v>67.1</v>
      </c>
      <c r="I35" s="97">
        <v>17.3</v>
      </c>
      <c r="J35" s="97">
        <v>3.9</v>
      </c>
      <c r="K35" s="97">
        <v>0.2</v>
      </c>
      <c r="L35" s="97">
        <v>21.2</v>
      </c>
      <c r="M35" s="97">
        <v>0</v>
      </c>
      <c r="N35" s="97">
        <v>1.8</v>
      </c>
      <c r="O35" s="104">
        <v>0</v>
      </c>
      <c r="P35" s="66"/>
    </row>
    <row r="36" ht="25.2" customHeight="1" spans="1:16">
      <c r="A36" s="122" t="s">
        <v>30</v>
      </c>
      <c r="B36" s="50"/>
      <c r="C36" s="50"/>
      <c r="D36" s="51">
        <f t="shared" ref="D36:O36" si="2">SUM(D32:D35)</f>
        <v>530</v>
      </c>
      <c r="E36" s="97">
        <f t="shared" si="2"/>
        <v>19.22</v>
      </c>
      <c r="F36" s="97">
        <f t="shared" si="2"/>
        <v>19.75</v>
      </c>
      <c r="G36" s="97">
        <f t="shared" si="2"/>
        <v>83.75</v>
      </c>
      <c r="H36" s="97">
        <f t="shared" si="2"/>
        <v>587.5</v>
      </c>
      <c r="I36" s="97">
        <f t="shared" si="2"/>
        <v>447.28</v>
      </c>
      <c r="J36" s="97">
        <f t="shared" si="2"/>
        <v>59.28</v>
      </c>
      <c r="K36" s="97">
        <f t="shared" si="2"/>
        <v>1.66</v>
      </c>
      <c r="L36" s="97">
        <f t="shared" si="2"/>
        <v>460.66</v>
      </c>
      <c r="M36" s="97">
        <f t="shared" si="2"/>
        <v>0.18</v>
      </c>
      <c r="N36" s="97">
        <f t="shared" si="2"/>
        <v>3.26</v>
      </c>
      <c r="O36" s="104">
        <f t="shared" si="2"/>
        <v>110.58</v>
      </c>
      <c r="P36" s="66"/>
    </row>
    <row r="37" ht="40.2" customHeight="1" spans="1:16">
      <c r="A37" s="131" t="s">
        <v>31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44"/>
      <c r="P37" s="66"/>
    </row>
    <row r="38" ht="27" spans="1:16">
      <c r="A38" s="117" t="s">
        <v>47</v>
      </c>
      <c r="B38" s="96">
        <v>2017</v>
      </c>
      <c r="C38" s="50">
        <v>112</v>
      </c>
      <c r="D38" s="51">
        <v>200</v>
      </c>
      <c r="E38" s="97">
        <v>2.15</v>
      </c>
      <c r="F38" s="97">
        <v>3.67</v>
      </c>
      <c r="G38" s="97">
        <v>13.71</v>
      </c>
      <c r="H38" s="97">
        <v>83.8</v>
      </c>
      <c r="I38" s="97">
        <v>19.68</v>
      </c>
      <c r="J38" s="97">
        <v>18.6</v>
      </c>
      <c r="K38" s="97">
        <v>0.87</v>
      </c>
      <c r="L38" s="97">
        <v>21.32</v>
      </c>
      <c r="M38" s="97">
        <v>0.09</v>
      </c>
      <c r="N38" s="97">
        <v>6.6</v>
      </c>
      <c r="O38" s="104">
        <v>18.24</v>
      </c>
      <c r="P38" s="66"/>
    </row>
    <row r="39" spans="1:16">
      <c r="A39" s="123" t="s">
        <v>33</v>
      </c>
      <c r="B39" s="96">
        <v>2017</v>
      </c>
      <c r="C39" s="50">
        <v>288</v>
      </c>
      <c r="D39" s="96">
        <v>10</v>
      </c>
      <c r="E39" s="97">
        <v>2.11</v>
      </c>
      <c r="F39" s="97">
        <v>1.36</v>
      </c>
      <c r="G39" s="97">
        <v>0</v>
      </c>
      <c r="H39" s="97">
        <v>20.67</v>
      </c>
      <c r="I39" s="97">
        <v>3.9</v>
      </c>
      <c r="J39" s="97">
        <v>2</v>
      </c>
      <c r="K39" s="97">
        <v>0.18</v>
      </c>
      <c r="L39" s="97">
        <v>14.3</v>
      </c>
      <c r="M39" s="97">
        <v>0.04</v>
      </c>
      <c r="N39" s="97">
        <v>0</v>
      </c>
      <c r="O39" s="104">
        <v>2.28</v>
      </c>
      <c r="P39" s="66"/>
    </row>
    <row r="40" ht="27" spans="1:16">
      <c r="A40" s="123" t="s">
        <v>48</v>
      </c>
      <c r="B40" s="96">
        <v>2011</v>
      </c>
      <c r="C40" s="50">
        <v>106</v>
      </c>
      <c r="D40" s="96">
        <v>260</v>
      </c>
      <c r="E40" s="97">
        <v>1.5</v>
      </c>
      <c r="F40" s="97">
        <v>2.2</v>
      </c>
      <c r="G40" s="97">
        <v>12.6</v>
      </c>
      <c r="H40" s="97">
        <v>84.8</v>
      </c>
      <c r="I40" s="126">
        <v>20.68</v>
      </c>
      <c r="J40" s="126">
        <v>14.9</v>
      </c>
      <c r="K40" s="145">
        <v>0.94</v>
      </c>
      <c r="L40" s="51">
        <v>61.44</v>
      </c>
      <c r="M40" s="126">
        <v>0.11</v>
      </c>
      <c r="N40" s="126">
        <v>1.6</v>
      </c>
      <c r="O40" s="126">
        <v>0</v>
      </c>
      <c r="P40" s="66"/>
    </row>
    <row r="41" customHeight="1" spans="1:16">
      <c r="A41" s="117" t="s">
        <v>49</v>
      </c>
      <c r="B41" s="50">
        <v>2017</v>
      </c>
      <c r="C41" s="133" t="s">
        <v>50</v>
      </c>
      <c r="D41" s="51">
        <v>90</v>
      </c>
      <c r="E41" s="97">
        <v>11.99</v>
      </c>
      <c r="F41" s="97">
        <v>12.05</v>
      </c>
      <c r="G41" s="97">
        <v>8.67</v>
      </c>
      <c r="H41" s="97">
        <v>188.9</v>
      </c>
      <c r="I41" s="97">
        <v>187.3</v>
      </c>
      <c r="J41" s="97">
        <v>21.1</v>
      </c>
      <c r="K41" s="97">
        <v>0.59</v>
      </c>
      <c r="L41" s="97">
        <v>77.7</v>
      </c>
      <c r="M41" s="97">
        <v>0.06</v>
      </c>
      <c r="N41" s="97">
        <v>0.82</v>
      </c>
      <c r="O41" s="104">
        <v>296.15</v>
      </c>
      <c r="P41" s="66"/>
    </row>
    <row r="42" spans="1:16">
      <c r="A42" s="49" t="s">
        <v>51</v>
      </c>
      <c r="B42" s="51">
        <v>2017</v>
      </c>
      <c r="C42" s="51">
        <v>304</v>
      </c>
      <c r="D42" s="51">
        <v>150</v>
      </c>
      <c r="E42" s="97">
        <v>3.67</v>
      </c>
      <c r="F42" s="97">
        <v>5.42</v>
      </c>
      <c r="G42" s="97">
        <v>36.67</v>
      </c>
      <c r="H42" s="97">
        <v>210.11</v>
      </c>
      <c r="I42" s="97">
        <v>19.77</v>
      </c>
      <c r="J42" s="97">
        <v>13.11</v>
      </c>
      <c r="K42" s="97">
        <v>0</v>
      </c>
      <c r="L42" s="97">
        <v>17.6</v>
      </c>
      <c r="M42" s="97">
        <v>0.05</v>
      </c>
      <c r="N42" s="97">
        <v>0</v>
      </c>
      <c r="O42" s="104">
        <v>0.1539</v>
      </c>
      <c r="P42" s="66"/>
    </row>
    <row r="43" spans="1:16">
      <c r="A43" s="49" t="s">
        <v>52</v>
      </c>
      <c r="B43" s="51">
        <v>2017</v>
      </c>
      <c r="C43" s="51">
        <v>49</v>
      </c>
      <c r="D43" s="51">
        <v>60</v>
      </c>
      <c r="E43" s="97">
        <v>1.5588</v>
      </c>
      <c r="F43" s="97">
        <v>3.732</v>
      </c>
      <c r="G43" s="97">
        <v>13.2894</v>
      </c>
      <c r="H43" s="97">
        <v>92.94</v>
      </c>
      <c r="I43" s="146">
        <v>44.886</v>
      </c>
      <c r="J43" s="146">
        <v>23.67</v>
      </c>
      <c r="K43" s="146">
        <v>0.29</v>
      </c>
      <c r="L43" s="146">
        <v>12.87</v>
      </c>
      <c r="M43" s="146">
        <v>0.162</v>
      </c>
      <c r="N43" s="146">
        <v>3.67</v>
      </c>
      <c r="O43" s="147">
        <v>21.37</v>
      </c>
      <c r="P43" s="66"/>
    </row>
    <row r="44" spans="1:16">
      <c r="A44" s="123" t="s">
        <v>53</v>
      </c>
      <c r="B44" s="50">
        <v>2017</v>
      </c>
      <c r="C44" s="50">
        <v>377</v>
      </c>
      <c r="D44" s="51">
        <v>200</v>
      </c>
      <c r="E44" s="51">
        <v>0.13</v>
      </c>
      <c r="F44" s="51">
        <v>0.02</v>
      </c>
      <c r="G44" s="51">
        <v>10.25</v>
      </c>
      <c r="H44" s="51">
        <v>41.68</v>
      </c>
      <c r="I44" s="51">
        <v>14.05</v>
      </c>
      <c r="J44" s="51">
        <v>2.4</v>
      </c>
      <c r="K44" s="51">
        <v>0.38</v>
      </c>
      <c r="L44" s="51">
        <v>4.4</v>
      </c>
      <c r="M44" s="51">
        <v>0</v>
      </c>
      <c r="N44" s="51">
        <v>2.83</v>
      </c>
      <c r="O44" s="148">
        <v>0</v>
      </c>
      <c r="P44" s="66"/>
    </row>
    <row r="45" spans="1:16">
      <c r="A45" s="122" t="s">
        <v>38</v>
      </c>
      <c r="B45" s="50" t="s">
        <v>27</v>
      </c>
      <c r="C45" s="50" t="s">
        <v>27</v>
      </c>
      <c r="D45" s="96">
        <v>20</v>
      </c>
      <c r="E45" s="97">
        <v>1.58</v>
      </c>
      <c r="F45" s="97">
        <v>0.2</v>
      </c>
      <c r="G45" s="97">
        <v>9.66</v>
      </c>
      <c r="H45" s="97">
        <v>46.76</v>
      </c>
      <c r="I45" s="97">
        <v>4.6</v>
      </c>
      <c r="J45" s="97">
        <v>6.6</v>
      </c>
      <c r="K45" s="97">
        <v>0.22</v>
      </c>
      <c r="L45" s="97">
        <v>17.4</v>
      </c>
      <c r="M45" s="97">
        <v>0.08</v>
      </c>
      <c r="N45" s="97">
        <v>0</v>
      </c>
      <c r="O45" s="104">
        <v>0</v>
      </c>
      <c r="P45" s="66"/>
    </row>
    <row r="46" spans="1:16">
      <c r="A46" s="122" t="s">
        <v>39</v>
      </c>
      <c r="B46" s="50" t="s">
        <v>27</v>
      </c>
      <c r="C46" s="50" t="s">
        <v>27</v>
      </c>
      <c r="D46" s="50">
        <v>40</v>
      </c>
      <c r="E46" s="97">
        <v>2.24</v>
      </c>
      <c r="F46" s="97">
        <v>0.44</v>
      </c>
      <c r="G46" s="97">
        <v>19.76</v>
      </c>
      <c r="H46" s="97">
        <v>91.96</v>
      </c>
      <c r="I46" s="97">
        <v>9.2</v>
      </c>
      <c r="J46" s="97">
        <v>10</v>
      </c>
      <c r="K46" s="97">
        <v>1.24</v>
      </c>
      <c r="L46" s="97">
        <v>42.4</v>
      </c>
      <c r="M46" s="97">
        <v>0.04</v>
      </c>
      <c r="N46" s="97">
        <v>0</v>
      </c>
      <c r="O46" s="104">
        <v>0</v>
      </c>
      <c r="P46" s="66"/>
    </row>
    <row r="47" s="2" customFormat="1" spans="1:16">
      <c r="A47" s="127" t="s">
        <v>30</v>
      </c>
      <c r="B47" s="128"/>
      <c r="C47" s="128"/>
      <c r="D47" s="134">
        <f>SUM(D38:D46)</f>
        <v>1030</v>
      </c>
      <c r="E47" s="129">
        <f>SUM(E38:E46)</f>
        <v>26.9288</v>
      </c>
      <c r="F47" s="129">
        <f>SUM(F38:F46)</f>
        <v>29.092</v>
      </c>
      <c r="G47" s="129">
        <f>SUM(G38:G46)</f>
        <v>124.6094</v>
      </c>
      <c r="H47" s="129">
        <f>SUM(H38:H46)</f>
        <v>861.62</v>
      </c>
      <c r="I47" s="129">
        <f t="shared" ref="I47:O47" si="3">SUM(I38:I46)</f>
        <v>324.066</v>
      </c>
      <c r="J47" s="129">
        <f t="shared" si="3"/>
        <v>112.38</v>
      </c>
      <c r="K47" s="129">
        <f t="shared" si="3"/>
        <v>4.71</v>
      </c>
      <c r="L47" s="129">
        <f t="shared" si="3"/>
        <v>269.43</v>
      </c>
      <c r="M47" s="129">
        <f t="shared" si="3"/>
        <v>0.632</v>
      </c>
      <c r="N47" s="129">
        <f t="shared" si="3"/>
        <v>15.52</v>
      </c>
      <c r="O47" s="143">
        <f t="shared" si="3"/>
        <v>338.1939</v>
      </c>
      <c r="P47" s="66"/>
    </row>
    <row r="48" s="2" customFormat="1" spans="1:16">
      <c r="A48" s="127" t="s">
        <v>41</v>
      </c>
      <c r="B48" s="128"/>
      <c r="C48" s="128"/>
      <c r="D48" s="134">
        <f t="shared" ref="D48:O48" si="4">D47+D36</f>
        <v>1560</v>
      </c>
      <c r="E48" s="129">
        <f t="shared" si="4"/>
        <v>46.1488</v>
      </c>
      <c r="F48" s="129">
        <f t="shared" si="4"/>
        <v>48.842</v>
      </c>
      <c r="G48" s="129">
        <f t="shared" si="4"/>
        <v>208.3594</v>
      </c>
      <c r="H48" s="129">
        <f t="shared" si="4"/>
        <v>1449.12</v>
      </c>
      <c r="I48" s="129">
        <f t="shared" si="4"/>
        <v>771.346</v>
      </c>
      <c r="J48" s="129">
        <f t="shared" si="4"/>
        <v>171.66</v>
      </c>
      <c r="K48" s="129">
        <f t="shared" si="4"/>
        <v>6.37</v>
      </c>
      <c r="L48" s="129">
        <f t="shared" si="4"/>
        <v>730.09</v>
      </c>
      <c r="M48" s="129">
        <f t="shared" si="4"/>
        <v>0.812</v>
      </c>
      <c r="N48" s="129">
        <f t="shared" si="4"/>
        <v>18.78</v>
      </c>
      <c r="O48" s="143">
        <f t="shared" si="4"/>
        <v>448.7739</v>
      </c>
      <c r="P48" s="69"/>
    </row>
    <row r="49" s="2" customFormat="1" spans="1:16">
      <c r="A49" s="135" t="s">
        <v>54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57"/>
    </row>
    <row r="50" s="2" customFormat="1" spans="1:16">
      <c r="A50" s="136" t="s">
        <v>23</v>
      </c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65" t="s">
        <v>54</v>
      </c>
    </row>
    <row r="51" s="3" customFormat="1" ht="27" spans="1:16">
      <c r="A51" s="137" t="s">
        <v>55</v>
      </c>
      <c r="B51" s="50">
        <v>2017</v>
      </c>
      <c r="C51" s="50">
        <v>175</v>
      </c>
      <c r="D51" s="51">
        <v>210</v>
      </c>
      <c r="E51" s="97">
        <v>10.44</v>
      </c>
      <c r="F51" s="97">
        <v>13.54</v>
      </c>
      <c r="G51" s="97">
        <v>15.33</v>
      </c>
      <c r="H51" s="97">
        <v>221.1</v>
      </c>
      <c r="I51" s="51">
        <v>158.6</v>
      </c>
      <c r="J51" s="51">
        <v>26.7</v>
      </c>
      <c r="K51" s="51">
        <v>0.75</v>
      </c>
      <c r="L51" s="51">
        <v>157.3</v>
      </c>
      <c r="M51" s="51">
        <v>0.12</v>
      </c>
      <c r="N51" s="51">
        <v>1.2</v>
      </c>
      <c r="O51" s="104">
        <f>81*1.14</f>
        <v>92.34</v>
      </c>
      <c r="P51" s="66"/>
    </row>
    <row r="52" spans="1:16">
      <c r="A52" s="49" t="s">
        <v>26</v>
      </c>
      <c r="B52" s="50" t="s">
        <v>27</v>
      </c>
      <c r="C52" s="50" t="s">
        <v>27</v>
      </c>
      <c r="D52" s="97">
        <v>60</v>
      </c>
      <c r="E52" s="97">
        <v>4.74</v>
      </c>
      <c r="F52" s="97">
        <v>0.6</v>
      </c>
      <c r="G52" s="97">
        <v>28.98</v>
      </c>
      <c r="H52" s="97">
        <v>140.28</v>
      </c>
      <c r="I52" s="97">
        <v>13.8</v>
      </c>
      <c r="J52" s="97">
        <v>19.8</v>
      </c>
      <c r="K52" s="97">
        <v>0.66</v>
      </c>
      <c r="L52" s="97">
        <v>52.2</v>
      </c>
      <c r="M52" s="97">
        <v>0.1</v>
      </c>
      <c r="N52" s="97">
        <v>0</v>
      </c>
      <c r="O52" s="104">
        <v>0</v>
      </c>
      <c r="P52" s="66"/>
    </row>
    <row r="53" spans="1:16">
      <c r="A53" s="49" t="s">
        <v>56</v>
      </c>
      <c r="B53" s="50" t="s">
        <v>27</v>
      </c>
      <c r="C53" s="50" t="s">
        <v>27</v>
      </c>
      <c r="D53" s="51">
        <v>30</v>
      </c>
      <c r="E53" s="51">
        <f>0.38*30/20</f>
        <v>0.57</v>
      </c>
      <c r="F53" s="51">
        <v>1.62</v>
      </c>
      <c r="G53" s="51">
        <v>9.62</v>
      </c>
      <c r="H53" s="51">
        <f>82.9*30/20</f>
        <v>124.35</v>
      </c>
      <c r="I53" s="51">
        <f>8.2*30/20</f>
        <v>12.3</v>
      </c>
      <c r="J53" s="51">
        <f>3*30/20</f>
        <v>4.5</v>
      </c>
      <c r="K53" s="51">
        <f>0.2*30/20</f>
        <v>0.3</v>
      </c>
      <c r="L53" s="51">
        <f>17.4*30/20</f>
        <v>26.1</v>
      </c>
      <c r="M53" s="51">
        <f>0.02*30/20</f>
        <v>0.03</v>
      </c>
      <c r="N53" s="51">
        <v>0</v>
      </c>
      <c r="O53" s="51">
        <f>19.5*1.14</f>
        <v>22.23</v>
      </c>
      <c r="P53" s="66"/>
    </row>
    <row r="54" spans="1:16">
      <c r="A54" s="132" t="s">
        <v>57</v>
      </c>
      <c r="B54" s="51">
        <v>2017</v>
      </c>
      <c r="C54" s="51">
        <v>8</v>
      </c>
      <c r="D54" s="51">
        <v>200</v>
      </c>
      <c r="E54" s="97">
        <f>0.61*200/180</f>
        <v>0.677777777777778</v>
      </c>
      <c r="F54" s="97">
        <f>0.25*200/180</f>
        <v>0.277777777777778</v>
      </c>
      <c r="G54" s="97">
        <f>16.18*200/180</f>
        <v>17.9777777777778</v>
      </c>
      <c r="H54" s="97">
        <f>69.41*200/180</f>
        <v>77.1222222222222</v>
      </c>
      <c r="I54" s="97">
        <f>19.2*200/180</f>
        <v>21.3333333333333</v>
      </c>
      <c r="J54" s="97">
        <f>3.1*200/180</f>
        <v>3.44444444444444</v>
      </c>
      <c r="K54" s="97">
        <f>0.57*200/180</f>
        <v>0.633333333333333</v>
      </c>
      <c r="L54" s="97">
        <f>3.1*200/180</f>
        <v>3.44444444444444</v>
      </c>
      <c r="M54" s="97">
        <v>0.01</v>
      </c>
      <c r="N54" s="97">
        <v>19</v>
      </c>
      <c r="O54" s="104">
        <v>0</v>
      </c>
      <c r="P54" s="66"/>
    </row>
    <row r="55" spans="1:16">
      <c r="A55" s="122" t="s">
        <v>30</v>
      </c>
      <c r="B55" s="50"/>
      <c r="C55" s="50"/>
      <c r="D55" s="51">
        <f t="shared" ref="D55:O55" si="5">SUM(D51:D54)</f>
        <v>500</v>
      </c>
      <c r="E55" s="97">
        <f t="shared" si="5"/>
        <v>16.4277777777778</v>
      </c>
      <c r="F55" s="97">
        <f t="shared" si="5"/>
        <v>16.0377777777778</v>
      </c>
      <c r="G55" s="138">
        <f t="shared" si="5"/>
        <v>71.9077777777778</v>
      </c>
      <c r="H55" s="97">
        <f t="shared" si="5"/>
        <v>562.852222222222</v>
      </c>
      <c r="I55" s="97">
        <f t="shared" si="5"/>
        <v>206.033333333333</v>
      </c>
      <c r="J55" s="97">
        <f t="shared" si="5"/>
        <v>54.4444444444444</v>
      </c>
      <c r="K55" s="97">
        <f t="shared" si="5"/>
        <v>2.34333333333333</v>
      </c>
      <c r="L55" s="97">
        <f t="shared" si="5"/>
        <v>239.044444444444</v>
      </c>
      <c r="M55" s="97">
        <f t="shared" si="5"/>
        <v>0.26</v>
      </c>
      <c r="N55" s="97">
        <f t="shared" si="5"/>
        <v>20.2</v>
      </c>
      <c r="O55" s="104">
        <f t="shared" si="5"/>
        <v>114.57</v>
      </c>
      <c r="P55" s="66"/>
    </row>
    <row r="56" spans="1:16">
      <c r="A56" s="139" t="s">
        <v>31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66"/>
    </row>
    <row r="57" spans="1:16">
      <c r="A57" s="117" t="s">
        <v>58</v>
      </c>
      <c r="B57" s="50">
        <v>2017</v>
      </c>
      <c r="C57" s="50">
        <v>82</v>
      </c>
      <c r="D57" s="140">
        <v>200</v>
      </c>
      <c r="E57" s="140">
        <v>1.45</v>
      </c>
      <c r="F57" s="140">
        <v>3.93</v>
      </c>
      <c r="G57" s="140">
        <v>10.19</v>
      </c>
      <c r="H57" s="140">
        <v>82</v>
      </c>
      <c r="I57" s="140">
        <v>35.5</v>
      </c>
      <c r="J57" s="140">
        <v>10.96</v>
      </c>
      <c r="K57" s="140">
        <v>0.432</v>
      </c>
      <c r="L57" s="140">
        <v>33.936</v>
      </c>
      <c r="M57" s="140">
        <v>0.032</v>
      </c>
      <c r="N57" s="140">
        <v>5.232</v>
      </c>
      <c r="O57" s="149">
        <v>0</v>
      </c>
      <c r="P57" s="66"/>
    </row>
    <row r="58" spans="1:16">
      <c r="A58" s="123" t="s">
        <v>33</v>
      </c>
      <c r="B58" s="50">
        <v>2017</v>
      </c>
      <c r="C58" s="50">
        <v>288</v>
      </c>
      <c r="D58" s="96">
        <v>10</v>
      </c>
      <c r="E58" s="97">
        <v>2.11</v>
      </c>
      <c r="F58" s="97">
        <v>1.36</v>
      </c>
      <c r="G58" s="97">
        <v>0</v>
      </c>
      <c r="H58" s="97">
        <v>20.67</v>
      </c>
      <c r="I58" s="97">
        <v>3.9</v>
      </c>
      <c r="J58" s="97">
        <v>2</v>
      </c>
      <c r="K58" s="97">
        <v>0.18</v>
      </c>
      <c r="L58" s="97">
        <v>14.3</v>
      </c>
      <c r="M58" s="97">
        <v>0.04</v>
      </c>
      <c r="N58" s="97">
        <v>0</v>
      </c>
      <c r="O58" s="104">
        <v>2.28</v>
      </c>
      <c r="P58" s="66"/>
    </row>
    <row r="59" spans="1:16">
      <c r="A59" s="123" t="s">
        <v>59</v>
      </c>
      <c r="B59" s="50">
        <v>2011</v>
      </c>
      <c r="C59" s="50">
        <v>111</v>
      </c>
      <c r="D59" s="96">
        <v>210</v>
      </c>
      <c r="E59" s="97">
        <v>1.9</v>
      </c>
      <c r="F59" s="97">
        <v>4.06</v>
      </c>
      <c r="G59" s="97">
        <v>10.4</v>
      </c>
      <c r="H59" s="104">
        <v>93.6</v>
      </c>
      <c r="I59" s="97">
        <v>34.5</v>
      </c>
      <c r="J59" s="97">
        <v>15.75</v>
      </c>
      <c r="K59" s="97">
        <v>0.55</v>
      </c>
      <c r="L59" s="97">
        <v>203.25</v>
      </c>
      <c r="M59" s="97">
        <v>0.04</v>
      </c>
      <c r="N59" s="97">
        <v>0.95</v>
      </c>
      <c r="O59" s="104">
        <v>0</v>
      </c>
      <c r="P59" s="66"/>
    </row>
    <row r="60" spans="1:16">
      <c r="A60" s="132" t="s">
        <v>60</v>
      </c>
      <c r="B60" s="50">
        <v>2017</v>
      </c>
      <c r="C60" s="51">
        <v>291</v>
      </c>
      <c r="D60" s="51">
        <v>200</v>
      </c>
      <c r="E60" s="97">
        <v>18.12</v>
      </c>
      <c r="F60" s="97">
        <v>17.73</v>
      </c>
      <c r="G60" s="97">
        <v>42</v>
      </c>
      <c r="H60" s="104">
        <v>411.55</v>
      </c>
      <c r="I60" s="150">
        <v>45.1</v>
      </c>
      <c r="J60" s="150">
        <v>47.5</v>
      </c>
      <c r="K60" s="150">
        <v>2.19</v>
      </c>
      <c r="L60" s="150">
        <v>143.304</v>
      </c>
      <c r="M60" s="150">
        <v>0.06</v>
      </c>
      <c r="N60" s="150">
        <v>1.01</v>
      </c>
      <c r="O60" s="151">
        <v>248.03</v>
      </c>
      <c r="P60" s="66"/>
    </row>
    <row r="61" spans="1:16">
      <c r="A61" s="49" t="s">
        <v>61</v>
      </c>
      <c r="B61" s="50">
        <v>2017</v>
      </c>
      <c r="C61" s="51">
        <v>59</v>
      </c>
      <c r="D61" s="140">
        <v>60</v>
      </c>
      <c r="E61" s="140">
        <v>0.648</v>
      </c>
      <c r="F61" s="140">
        <v>0.108</v>
      </c>
      <c r="G61" s="140">
        <v>5.172</v>
      </c>
      <c r="H61" s="140">
        <v>24.24</v>
      </c>
      <c r="I61" s="140">
        <v>14.568</v>
      </c>
      <c r="J61" s="140">
        <v>2.25</v>
      </c>
      <c r="K61" s="140">
        <v>0.648</v>
      </c>
      <c r="L61" s="140">
        <v>26.4</v>
      </c>
      <c r="M61" s="140">
        <v>0.03</v>
      </c>
      <c r="N61" s="140">
        <v>3.75</v>
      </c>
      <c r="O61" s="149">
        <v>0</v>
      </c>
      <c r="P61" s="66"/>
    </row>
    <row r="62" spans="1:16">
      <c r="A62" s="49" t="s">
        <v>28</v>
      </c>
      <c r="B62" s="51">
        <v>2017</v>
      </c>
      <c r="C62" s="51">
        <v>376</v>
      </c>
      <c r="D62" s="97">
        <v>200</v>
      </c>
      <c r="E62" s="97">
        <v>0.2</v>
      </c>
      <c r="F62" s="97">
        <v>0</v>
      </c>
      <c r="G62" s="97">
        <v>14</v>
      </c>
      <c r="H62" s="97">
        <v>28</v>
      </c>
      <c r="I62" s="97">
        <v>6</v>
      </c>
      <c r="J62" s="97">
        <v>0</v>
      </c>
      <c r="K62" s="97">
        <v>0.4</v>
      </c>
      <c r="L62" s="97">
        <v>0</v>
      </c>
      <c r="M62" s="97">
        <v>0</v>
      </c>
      <c r="N62" s="97">
        <v>0</v>
      </c>
      <c r="O62" s="97">
        <v>0</v>
      </c>
      <c r="P62" s="66"/>
    </row>
    <row r="63" spans="1:16">
      <c r="A63" s="122" t="s">
        <v>38</v>
      </c>
      <c r="B63" s="50" t="s">
        <v>27</v>
      </c>
      <c r="C63" s="50" t="s">
        <v>27</v>
      </c>
      <c r="D63" s="96">
        <v>20</v>
      </c>
      <c r="E63" s="97">
        <v>1.58</v>
      </c>
      <c r="F63" s="97">
        <v>0.2</v>
      </c>
      <c r="G63" s="97">
        <v>9.66</v>
      </c>
      <c r="H63" s="97">
        <v>46.76</v>
      </c>
      <c r="I63" s="97">
        <v>4.6</v>
      </c>
      <c r="J63" s="97">
        <v>6.6</v>
      </c>
      <c r="K63" s="97">
        <v>0.22</v>
      </c>
      <c r="L63" s="97">
        <v>17.4</v>
      </c>
      <c r="M63" s="97">
        <v>0.08</v>
      </c>
      <c r="N63" s="97">
        <v>0</v>
      </c>
      <c r="O63" s="104">
        <v>0</v>
      </c>
      <c r="P63" s="66"/>
    </row>
    <row r="64" spans="1:16">
      <c r="A64" s="122" t="s">
        <v>39</v>
      </c>
      <c r="B64" s="50" t="s">
        <v>27</v>
      </c>
      <c r="C64" s="50" t="s">
        <v>27</v>
      </c>
      <c r="D64" s="50">
        <v>40</v>
      </c>
      <c r="E64" s="97">
        <v>2.24</v>
      </c>
      <c r="F64" s="97">
        <v>0.44</v>
      </c>
      <c r="G64" s="97">
        <v>19.76</v>
      </c>
      <c r="H64" s="97">
        <v>91.96</v>
      </c>
      <c r="I64" s="97">
        <v>9.2</v>
      </c>
      <c r="J64" s="97">
        <v>10</v>
      </c>
      <c r="K64" s="97">
        <v>1.24</v>
      </c>
      <c r="L64" s="97">
        <v>42.4</v>
      </c>
      <c r="M64" s="97">
        <v>0.04</v>
      </c>
      <c r="N64" s="97">
        <v>0</v>
      </c>
      <c r="O64" s="104">
        <v>0</v>
      </c>
      <c r="P64" s="66"/>
    </row>
    <row r="65" s="109" customFormat="1" spans="1:16">
      <c r="A65" s="122" t="s">
        <v>30</v>
      </c>
      <c r="B65" s="50"/>
      <c r="C65" s="50"/>
      <c r="D65" s="97">
        <f t="shared" ref="D65:O65" si="6">SUM(D57:D64)</f>
        <v>940</v>
      </c>
      <c r="E65" s="97">
        <f t="shared" si="6"/>
        <v>28.248</v>
      </c>
      <c r="F65" s="97">
        <f t="shared" si="6"/>
        <v>27.828</v>
      </c>
      <c r="G65" s="97">
        <f t="shared" si="6"/>
        <v>111.182</v>
      </c>
      <c r="H65" s="97">
        <f t="shared" si="6"/>
        <v>798.78</v>
      </c>
      <c r="I65" s="97">
        <f t="shared" si="6"/>
        <v>153.368</v>
      </c>
      <c r="J65" s="97">
        <f t="shared" si="6"/>
        <v>95.06</v>
      </c>
      <c r="K65" s="97">
        <f t="shared" si="6"/>
        <v>5.86</v>
      </c>
      <c r="L65" s="97">
        <f t="shared" si="6"/>
        <v>480.99</v>
      </c>
      <c r="M65" s="97">
        <f t="shared" si="6"/>
        <v>0.322</v>
      </c>
      <c r="N65" s="97">
        <f t="shared" si="6"/>
        <v>10.942</v>
      </c>
      <c r="O65" s="104">
        <f t="shared" si="6"/>
        <v>250.31</v>
      </c>
      <c r="P65" s="66"/>
    </row>
    <row r="66" s="2" customFormat="1" spans="1:16">
      <c r="A66" s="127" t="s">
        <v>41</v>
      </c>
      <c r="B66" s="128"/>
      <c r="C66" s="128"/>
      <c r="D66" s="129">
        <f t="shared" ref="D66:O66" si="7">D65+D55</f>
        <v>1440</v>
      </c>
      <c r="E66" s="129">
        <f t="shared" si="7"/>
        <v>44.6757777777778</v>
      </c>
      <c r="F66" s="129">
        <f t="shared" si="7"/>
        <v>43.8657777777778</v>
      </c>
      <c r="G66" s="129">
        <f t="shared" si="7"/>
        <v>183.089777777778</v>
      </c>
      <c r="H66" s="129">
        <f t="shared" si="7"/>
        <v>1361.63222222222</v>
      </c>
      <c r="I66" s="129">
        <f t="shared" si="7"/>
        <v>359.401333333333</v>
      </c>
      <c r="J66" s="129">
        <f t="shared" si="7"/>
        <v>149.504444444444</v>
      </c>
      <c r="K66" s="129">
        <f t="shared" si="7"/>
        <v>8.20333333333333</v>
      </c>
      <c r="L66" s="129">
        <f t="shared" si="7"/>
        <v>720.034444444444</v>
      </c>
      <c r="M66" s="129">
        <f t="shared" si="7"/>
        <v>0.582</v>
      </c>
      <c r="N66" s="129">
        <f t="shared" si="7"/>
        <v>31.142</v>
      </c>
      <c r="O66" s="143">
        <f t="shared" si="7"/>
        <v>364.88</v>
      </c>
      <c r="P66" s="69"/>
    </row>
    <row r="67" s="4" customFormat="1" spans="1:16">
      <c r="A67" s="121" t="s">
        <v>62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57"/>
    </row>
    <row r="68" s="4" customFormat="1" spans="1:16">
      <c r="A68" s="135" t="s">
        <v>23</v>
      </c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57"/>
    </row>
    <row r="69" s="3" customFormat="1" ht="27" spans="1:16">
      <c r="A69" s="122" t="s">
        <v>63</v>
      </c>
      <c r="B69" s="96">
        <v>2017</v>
      </c>
      <c r="C69" s="96">
        <v>181</v>
      </c>
      <c r="D69" s="118">
        <v>210</v>
      </c>
      <c r="E69" s="97">
        <v>9.52</v>
      </c>
      <c r="F69" s="97">
        <v>4.17</v>
      </c>
      <c r="G69" s="97">
        <v>35.46</v>
      </c>
      <c r="H69" s="97">
        <v>201.7</v>
      </c>
      <c r="I69" s="97">
        <v>202.17</v>
      </c>
      <c r="J69" s="97">
        <v>7.9</v>
      </c>
      <c r="K69" s="97">
        <v>0.47</v>
      </c>
      <c r="L69" s="97">
        <v>38.6</v>
      </c>
      <c r="M69" s="97">
        <v>0.04</v>
      </c>
      <c r="N69" s="97">
        <v>0</v>
      </c>
      <c r="O69" s="104">
        <v>36.72</v>
      </c>
      <c r="P69" s="65" t="s">
        <v>62</v>
      </c>
    </row>
    <row r="70" s="3" customFormat="1" spans="1:16">
      <c r="A70" s="152" t="s">
        <v>64</v>
      </c>
      <c r="B70" s="51">
        <v>3</v>
      </c>
      <c r="C70" s="51">
        <v>2017</v>
      </c>
      <c r="D70" s="153">
        <v>40</v>
      </c>
      <c r="E70" s="154">
        <v>4.9</v>
      </c>
      <c r="F70" s="97">
        <v>11.55</v>
      </c>
      <c r="G70" s="97">
        <v>17.1</v>
      </c>
      <c r="H70" s="154">
        <v>193</v>
      </c>
      <c r="I70" s="97">
        <v>106</v>
      </c>
      <c r="J70" s="97">
        <v>4.8</v>
      </c>
      <c r="K70" s="97">
        <v>0.12</v>
      </c>
      <c r="L70" s="97">
        <v>0.09</v>
      </c>
      <c r="M70" s="97">
        <v>0.06</v>
      </c>
      <c r="N70" s="97">
        <v>0.11</v>
      </c>
      <c r="O70" s="104">
        <v>39</v>
      </c>
      <c r="P70" s="66"/>
    </row>
    <row r="71" s="3" customFormat="1" spans="1:16">
      <c r="A71" s="123" t="s">
        <v>53</v>
      </c>
      <c r="B71" s="50">
        <v>2017</v>
      </c>
      <c r="C71" s="50">
        <v>377</v>
      </c>
      <c r="D71" s="51">
        <v>200</v>
      </c>
      <c r="E71" s="51">
        <v>0.13</v>
      </c>
      <c r="F71" s="51">
        <v>0.02</v>
      </c>
      <c r="G71" s="51">
        <v>10.25</v>
      </c>
      <c r="H71" s="51">
        <v>41.68</v>
      </c>
      <c r="I71" s="51">
        <v>14.05</v>
      </c>
      <c r="J71" s="51">
        <v>2.4</v>
      </c>
      <c r="K71" s="51">
        <v>0.38</v>
      </c>
      <c r="L71" s="51">
        <v>4.4</v>
      </c>
      <c r="M71" s="51">
        <v>0</v>
      </c>
      <c r="N71" s="51">
        <v>2.83</v>
      </c>
      <c r="O71" s="148">
        <v>0</v>
      </c>
      <c r="P71" s="66"/>
    </row>
    <row r="72" s="3" customFormat="1" spans="1:16">
      <c r="A72" s="49" t="s">
        <v>65</v>
      </c>
      <c r="B72" s="51">
        <v>2017</v>
      </c>
      <c r="C72" s="51">
        <v>338</v>
      </c>
      <c r="D72" s="118">
        <v>100</v>
      </c>
      <c r="E72" s="97">
        <v>0.9</v>
      </c>
      <c r="F72" s="97">
        <v>0.2</v>
      </c>
      <c r="G72" s="97">
        <v>8.1</v>
      </c>
      <c r="H72" s="97">
        <v>37.8</v>
      </c>
      <c r="I72" s="97">
        <v>34</v>
      </c>
      <c r="J72" s="97">
        <v>13</v>
      </c>
      <c r="K72" s="97">
        <v>0.3</v>
      </c>
      <c r="L72" s="97">
        <v>18.33</v>
      </c>
      <c r="M72" s="97">
        <v>0.04</v>
      </c>
      <c r="N72" s="97">
        <v>26</v>
      </c>
      <c r="O72" s="104">
        <v>0</v>
      </c>
      <c r="P72" s="66"/>
    </row>
    <row r="73" s="3" customFormat="1" spans="1:16">
      <c r="A73" s="155" t="s">
        <v>30</v>
      </c>
      <c r="B73" s="156"/>
      <c r="C73" s="156"/>
      <c r="D73" s="118">
        <f t="shared" ref="D73:O73" si="8">SUM(D69:D72)</f>
        <v>550</v>
      </c>
      <c r="E73" s="97">
        <f t="shared" si="8"/>
        <v>15.45</v>
      </c>
      <c r="F73" s="97">
        <f t="shared" si="8"/>
        <v>15.94</v>
      </c>
      <c r="G73" s="97">
        <f t="shared" si="8"/>
        <v>70.91</v>
      </c>
      <c r="H73" s="97">
        <f t="shared" si="8"/>
        <v>474.18</v>
      </c>
      <c r="I73" s="97">
        <f t="shared" si="8"/>
        <v>356.22</v>
      </c>
      <c r="J73" s="97">
        <f t="shared" si="8"/>
        <v>28.1</v>
      </c>
      <c r="K73" s="97">
        <f t="shared" si="8"/>
        <v>1.27</v>
      </c>
      <c r="L73" s="97">
        <f t="shared" si="8"/>
        <v>61.42</v>
      </c>
      <c r="M73" s="97">
        <f t="shared" si="8"/>
        <v>0.14</v>
      </c>
      <c r="N73" s="97">
        <f t="shared" si="8"/>
        <v>28.94</v>
      </c>
      <c r="O73" s="104">
        <f t="shared" si="8"/>
        <v>75.72</v>
      </c>
      <c r="P73" s="66"/>
    </row>
    <row r="74" s="3" customFormat="1" spans="1:16">
      <c r="A74" s="121" t="s">
        <v>31</v>
      </c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42"/>
      <c r="P74" s="66"/>
    </row>
    <row r="75" s="3" customFormat="1" spans="1:16">
      <c r="A75" s="49" t="s">
        <v>66</v>
      </c>
      <c r="B75" s="51">
        <v>2017</v>
      </c>
      <c r="C75" s="51">
        <v>99</v>
      </c>
      <c r="D75" s="51">
        <v>200</v>
      </c>
      <c r="E75" s="97">
        <v>1.68</v>
      </c>
      <c r="F75" s="97">
        <v>5.98</v>
      </c>
      <c r="G75" s="97">
        <v>9.35</v>
      </c>
      <c r="H75" s="97">
        <v>98.37</v>
      </c>
      <c r="I75" s="97">
        <v>25.71</v>
      </c>
      <c r="J75" s="97">
        <v>23.02</v>
      </c>
      <c r="K75" s="97">
        <v>0.07</v>
      </c>
      <c r="L75" s="97">
        <v>69.47</v>
      </c>
      <c r="M75" s="97">
        <v>0.11</v>
      </c>
      <c r="N75" s="97">
        <v>6.8</v>
      </c>
      <c r="O75" s="104">
        <v>0</v>
      </c>
      <c r="P75" s="66"/>
    </row>
    <row r="76" s="3" customFormat="1" spans="1:16">
      <c r="A76" s="123" t="s">
        <v>33</v>
      </c>
      <c r="B76" s="50">
        <v>2017</v>
      </c>
      <c r="C76" s="50">
        <v>288</v>
      </c>
      <c r="D76" s="96">
        <v>10</v>
      </c>
      <c r="E76" s="97">
        <v>2.11</v>
      </c>
      <c r="F76" s="97">
        <v>1.36</v>
      </c>
      <c r="G76" s="97">
        <v>0</v>
      </c>
      <c r="H76" s="97">
        <v>20.67</v>
      </c>
      <c r="I76" s="97">
        <v>3.9</v>
      </c>
      <c r="J76" s="97">
        <v>2</v>
      </c>
      <c r="K76" s="97">
        <v>0.18</v>
      </c>
      <c r="L76" s="97">
        <v>14.3</v>
      </c>
      <c r="M76" s="97">
        <v>0.04</v>
      </c>
      <c r="N76" s="97">
        <v>0</v>
      </c>
      <c r="O76" s="104">
        <v>2.28</v>
      </c>
      <c r="P76" s="66"/>
    </row>
    <row r="77" s="3" customFormat="1" spans="1:16">
      <c r="A77" s="123" t="s">
        <v>67</v>
      </c>
      <c r="B77" s="50">
        <v>2011</v>
      </c>
      <c r="C77" s="50">
        <v>101</v>
      </c>
      <c r="D77" s="96">
        <v>210</v>
      </c>
      <c r="E77" s="97">
        <v>1.6</v>
      </c>
      <c r="F77" s="97">
        <v>2.17</v>
      </c>
      <c r="G77" s="97">
        <v>9.69</v>
      </c>
      <c r="H77" s="97">
        <v>90.3</v>
      </c>
      <c r="I77" s="97">
        <v>30.46</v>
      </c>
      <c r="J77" s="97">
        <v>22.24</v>
      </c>
      <c r="K77" s="97">
        <v>1.62</v>
      </c>
      <c r="L77" s="97">
        <v>69.74</v>
      </c>
      <c r="M77" s="97">
        <v>0.18</v>
      </c>
      <c r="N77" s="97">
        <v>4.65</v>
      </c>
      <c r="O77" s="104">
        <v>0</v>
      </c>
      <c r="P77" s="66"/>
    </row>
    <row r="78" s="3" customFormat="1" spans="1:16">
      <c r="A78" s="157" t="s">
        <v>68</v>
      </c>
      <c r="B78" s="50">
        <v>2017</v>
      </c>
      <c r="C78" s="50" t="s">
        <v>69</v>
      </c>
      <c r="D78" s="51">
        <v>90</v>
      </c>
      <c r="E78" s="97">
        <v>12</v>
      </c>
      <c r="F78" s="97">
        <v>10.64</v>
      </c>
      <c r="G78" s="97">
        <v>11.66</v>
      </c>
      <c r="H78" s="97">
        <v>172.12</v>
      </c>
      <c r="I78" s="97">
        <v>163.879999999999</v>
      </c>
      <c r="J78" s="97">
        <v>12.77</v>
      </c>
      <c r="K78" s="97">
        <v>1.08</v>
      </c>
      <c r="L78" s="97">
        <v>43.19</v>
      </c>
      <c r="M78" s="97">
        <v>0.1</v>
      </c>
      <c r="N78" s="97">
        <v>0.1</v>
      </c>
      <c r="O78" s="104">
        <v>241.65</v>
      </c>
      <c r="P78" s="66"/>
    </row>
    <row r="79" s="3" customFormat="1" ht="27" spans="1:16">
      <c r="A79" s="117" t="s">
        <v>70</v>
      </c>
      <c r="B79" s="50">
        <v>2017</v>
      </c>
      <c r="C79" s="50">
        <v>125</v>
      </c>
      <c r="D79" s="51">
        <v>150</v>
      </c>
      <c r="E79" s="97">
        <v>2.86</v>
      </c>
      <c r="F79" s="97">
        <v>4.32</v>
      </c>
      <c r="G79" s="97">
        <v>23.01</v>
      </c>
      <c r="H79" s="97">
        <v>142.35</v>
      </c>
      <c r="I79" s="97">
        <v>14.64</v>
      </c>
      <c r="J79" s="97">
        <v>19.33</v>
      </c>
      <c r="K79" s="97">
        <v>1.16</v>
      </c>
      <c r="L79" s="97">
        <v>109.97</v>
      </c>
      <c r="M79" s="97">
        <v>0.15</v>
      </c>
      <c r="N79" s="97">
        <v>21</v>
      </c>
      <c r="O79" s="104">
        <v>21</v>
      </c>
      <c r="P79" s="66"/>
    </row>
    <row r="80" s="3" customFormat="1" spans="1:16">
      <c r="A80" s="49" t="s">
        <v>71</v>
      </c>
      <c r="B80" s="51">
        <v>2017</v>
      </c>
      <c r="C80" s="51">
        <v>52</v>
      </c>
      <c r="D80" s="51">
        <v>60</v>
      </c>
      <c r="E80" s="51">
        <v>0.86</v>
      </c>
      <c r="F80" s="51">
        <v>3.65</v>
      </c>
      <c r="G80" s="51">
        <v>5.02</v>
      </c>
      <c r="H80" s="51">
        <v>56.34</v>
      </c>
      <c r="I80" s="51">
        <v>21.09</v>
      </c>
      <c r="J80" s="51">
        <v>12.54</v>
      </c>
      <c r="K80" s="51">
        <v>0.8</v>
      </c>
      <c r="L80" s="164">
        <v>24.58</v>
      </c>
      <c r="M80" s="51">
        <v>0.01</v>
      </c>
      <c r="N80" s="51">
        <v>5.7</v>
      </c>
      <c r="O80" s="148">
        <v>0</v>
      </c>
      <c r="P80" s="66"/>
    </row>
    <row r="81" s="3" customFormat="1" spans="1:16">
      <c r="A81" s="49" t="s">
        <v>72</v>
      </c>
      <c r="B81" s="51">
        <v>2017</v>
      </c>
      <c r="C81" s="51">
        <v>342</v>
      </c>
      <c r="D81" s="51">
        <v>200</v>
      </c>
      <c r="E81" s="97">
        <v>0.2</v>
      </c>
      <c r="F81" s="97">
        <v>0.2</v>
      </c>
      <c r="G81" s="97">
        <v>22.3</v>
      </c>
      <c r="H81" s="97">
        <v>110</v>
      </c>
      <c r="I81" s="97">
        <v>12</v>
      </c>
      <c r="J81" s="97">
        <v>0</v>
      </c>
      <c r="K81" s="97">
        <v>0.8</v>
      </c>
      <c r="L81" s="97">
        <v>2.4</v>
      </c>
      <c r="M81" s="97">
        <v>0.02</v>
      </c>
      <c r="N81" s="97">
        <v>0</v>
      </c>
      <c r="O81" s="104">
        <v>0</v>
      </c>
      <c r="P81" s="66"/>
    </row>
    <row r="82" s="3" customFormat="1" spans="1:16">
      <c r="A82" s="122" t="s">
        <v>38</v>
      </c>
      <c r="B82" s="50" t="s">
        <v>27</v>
      </c>
      <c r="C82" s="50" t="s">
        <v>27</v>
      </c>
      <c r="D82" s="96">
        <v>20</v>
      </c>
      <c r="E82" s="97">
        <v>1.58</v>
      </c>
      <c r="F82" s="97">
        <v>0.2</v>
      </c>
      <c r="G82" s="97">
        <v>9.66</v>
      </c>
      <c r="H82" s="97">
        <v>46.76</v>
      </c>
      <c r="I82" s="97">
        <v>4.6</v>
      </c>
      <c r="J82" s="97">
        <v>6.6</v>
      </c>
      <c r="K82" s="97">
        <v>0.22</v>
      </c>
      <c r="L82" s="97">
        <v>17.4</v>
      </c>
      <c r="M82" s="97">
        <v>0.08</v>
      </c>
      <c r="N82" s="97">
        <v>0</v>
      </c>
      <c r="O82" s="104">
        <v>0</v>
      </c>
      <c r="P82" s="66"/>
    </row>
    <row r="83" s="3" customFormat="1" spans="1:16">
      <c r="A83" s="122" t="s">
        <v>39</v>
      </c>
      <c r="B83" s="50" t="s">
        <v>27</v>
      </c>
      <c r="C83" s="50" t="s">
        <v>27</v>
      </c>
      <c r="D83" s="50">
        <v>40</v>
      </c>
      <c r="E83" s="97">
        <v>2.24</v>
      </c>
      <c r="F83" s="97">
        <v>0.44</v>
      </c>
      <c r="G83" s="97">
        <v>19.76</v>
      </c>
      <c r="H83" s="97">
        <v>91.96</v>
      </c>
      <c r="I83" s="97">
        <v>9.2</v>
      </c>
      <c r="J83" s="97">
        <v>10</v>
      </c>
      <c r="K83" s="97">
        <v>1.24</v>
      </c>
      <c r="L83" s="97">
        <v>42.4</v>
      </c>
      <c r="M83" s="97">
        <v>0.04</v>
      </c>
      <c r="N83" s="97">
        <v>0</v>
      </c>
      <c r="O83" s="104">
        <v>0</v>
      </c>
      <c r="P83" s="66"/>
    </row>
    <row r="84" s="109" customFormat="1" spans="1:16">
      <c r="A84" s="155" t="s">
        <v>30</v>
      </c>
      <c r="B84" s="156"/>
      <c r="C84" s="156"/>
      <c r="D84" s="51">
        <f t="shared" ref="D84:O84" si="9">SUM(D75:D83)</f>
        <v>980</v>
      </c>
      <c r="E84" s="97">
        <f t="shared" si="9"/>
        <v>25.13</v>
      </c>
      <c r="F84" s="97">
        <f t="shared" si="9"/>
        <v>28.96</v>
      </c>
      <c r="G84" s="97">
        <f t="shared" si="9"/>
        <v>110.45</v>
      </c>
      <c r="H84" s="97">
        <f t="shared" si="9"/>
        <v>828.87</v>
      </c>
      <c r="I84" s="97">
        <f t="shared" si="9"/>
        <v>285.479999999999</v>
      </c>
      <c r="J84" s="97">
        <f t="shared" si="9"/>
        <v>108.5</v>
      </c>
      <c r="K84" s="97">
        <f t="shared" si="9"/>
        <v>7.17</v>
      </c>
      <c r="L84" s="97">
        <f t="shared" si="9"/>
        <v>393.45</v>
      </c>
      <c r="M84" s="97">
        <f t="shared" si="9"/>
        <v>0.73</v>
      </c>
      <c r="N84" s="97">
        <f t="shared" si="9"/>
        <v>38.25</v>
      </c>
      <c r="O84" s="104">
        <f t="shared" si="9"/>
        <v>264.93</v>
      </c>
      <c r="P84" s="66"/>
    </row>
    <row r="85" s="2" customFormat="1" spans="1:16">
      <c r="A85" s="127" t="s">
        <v>41</v>
      </c>
      <c r="B85" s="128"/>
      <c r="C85" s="128"/>
      <c r="D85" s="134">
        <f>D73+D84</f>
        <v>1530</v>
      </c>
      <c r="E85" s="129">
        <f t="shared" ref="E85:O85" si="10">E84+E73</f>
        <v>40.58</v>
      </c>
      <c r="F85" s="129">
        <f t="shared" si="10"/>
        <v>44.9</v>
      </c>
      <c r="G85" s="129">
        <f t="shared" si="10"/>
        <v>181.36</v>
      </c>
      <c r="H85" s="129">
        <f t="shared" si="10"/>
        <v>1303.05</v>
      </c>
      <c r="I85" s="129">
        <f t="shared" si="10"/>
        <v>641.699999999999</v>
      </c>
      <c r="J85" s="129">
        <f t="shared" si="10"/>
        <v>136.6</v>
      </c>
      <c r="K85" s="129">
        <f t="shared" si="10"/>
        <v>8.44</v>
      </c>
      <c r="L85" s="129">
        <f t="shared" si="10"/>
        <v>454.87</v>
      </c>
      <c r="M85" s="129">
        <f t="shared" si="10"/>
        <v>0.87</v>
      </c>
      <c r="N85" s="129">
        <f t="shared" si="10"/>
        <v>67.19</v>
      </c>
      <c r="O85" s="143">
        <f t="shared" si="10"/>
        <v>340.65</v>
      </c>
      <c r="P85" s="69"/>
    </row>
    <row r="86" s="2" customFormat="1" spans="1:16">
      <c r="A86" s="135" t="s">
        <v>73</v>
      </c>
      <c r="B86" s="158"/>
      <c r="C86" s="158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57"/>
    </row>
    <row r="87" s="2" customFormat="1" spans="1:16">
      <c r="A87" s="159" t="s">
        <v>23</v>
      </c>
      <c r="B87" s="160"/>
      <c r="C87" s="160"/>
      <c r="D87" s="160"/>
      <c r="E87" s="160"/>
      <c r="F87" s="160"/>
      <c r="G87" s="160"/>
      <c r="H87" s="160"/>
      <c r="I87" s="160"/>
      <c r="J87" s="160"/>
      <c r="K87" s="160"/>
      <c r="L87" s="160"/>
      <c r="M87" s="160"/>
      <c r="N87" s="160"/>
      <c r="O87" s="160"/>
      <c r="P87" s="65" t="s">
        <v>73</v>
      </c>
    </row>
    <row r="88" ht="25.2" customHeight="1" spans="1:16">
      <c r="A88" s="117" t="s">
        <v>74</v>
      </c>
      <c r="B88" s="50">
        <v>2017</v>
      </c>
      <c r="C88" s="50">
        <v>183</v>
      </c>
      <c r="D88" s="51">
        <v>210</v>
      </c>
      <c r="E88" s="97">
        <v>7.21</v>
      </c>
      <c r="F88" s="97">
        <v>11.58</v>
      </c>
      <c r="G88" s="97">
        <v>7.86</v>
      </c>
      <c r="H88" s="97">
        <v>203</v>
      </c>
      <c r="I88" s="97">
        <f>92.24*210/100</f>
        <v>193.704</v>
      </c>
      <c r="J88" s="97">
        <v>43.1</v>
      </c>
      <c r="K88" s="97">
        <v>1.32</v>
      </c>
      <c r="L88" s="97">
        <v>147.7</v>
      </c>
      <c r="M88" s="97">
        <v>0.15</v>
      </c>
      <c r="N88" s="97">
        <v>0</v>
      </c>
      <c r="O88" s="104">
        <f>20*1.14</f>
        <v>22.8</v>
      </c>
      <c r="P88" s="66"/>
    </row>
    <row r="89" spans="1:16">
      <c r="A89" s="49" t="s">
        <v>26</v>
      </c>
      <c r="B89" s="51" t="s">
        <v>27</v>
      </c>
      <c r="C89" s="51" t="s">
        <v>27</v>
      </c>
      <c r="D89" s="118">
        <v>60</v>
      </c>
      <c r="E89" s="97">
        <v>4.74</v>
      </c>
      <c r="F89" s="97">
        <v>0.6</v>
      </c>
      <c r="G89" s="97">
        <v>28.98</v>
      </c>
      <c r="H89" s="97">
        <v>140.28</v>
      </c>
      <c r="I89" s="97">
        <v>13.8</v>
      </c>
      <c r="J89" s="97">
        <v>19.8</v>
      </c>
      <c r="K89" s="97">
        <v>0.66</v>
      </c>
      <c r="L89" s="97">
        <v>52.2</v>
      </c>
      <c r="M89" s="97">
        <v>0.1</v>
      </c>
      <c r="N89" s="97">
        <v>0</v>
      </c>
      <c r="O89" s="104">
        <v>0</v>
      </c>
      <c r="P89" s="66"/>
    </row>
    <row r="90" spans="1:16">
      <c r="A90" s="161" t="s">
        <v>75</v>
      </c>
      <c r="B90" s="97">
        <v>2017</v>
      </c>
      <c r="C90" s="97">
        <v>382</v>
      </c>
      <c r="D90" s="118">
        <v>200</v>
      </c>
      <c r="E90" s="97">
        <v>3.52</v>
      </c>
      <c r="F90" s="97">
        <v>3.72</v>
      </c>
      <c r="G90" s="97">
        <v>25.49</v>
      </c>
      <c r="H90" s="97">
        <v>145.2</v>
      </c>
      <c r="I90" s="97">
        <v>122</v>
      </c>
      <c r="J90" s="97">
        <v>14</v>
      </c>
      <c r="K90" s="97">
        <v>0.56</v>
      </c>
      <c r="L90" s="97">
        <v>39</v>
      </c>
      <c r="M90" s="97">
        <v>0.04</v>
      </c>
      <c r="N90" s="97">
        <v>1.3</v>
      </c>
      <c r="O90" s="104">
        <f>0.01*1.14</f>
        <v>0.0114</v>
      </c>
      <c r="P90" s="66"/>
    </row>
    <row r="91" spans="1:16">
      <c r="A91" s="119" t="s">
        <v>29</v>
      </c>
      <c r="B91" s="96" t="s">
        <v>27</v>
      </c>
      <c r="C91" s="96" t="s">
        <v>27</v>
      </c>
      <c r="D91" s="96">
        <v>30</v>
      </c>
      <c r="E91" s="51">
        <f>0.1*30/20</f>
        <v>0.15</v>
      </c>
      <c r="F91" s="51">
        <v>0</v>
      </c>
      <c r="G91" s="51">
        <v>17.48</v>
      </c>
      <c r="H91" s="51">
        <f>57.68*30/20</f>
        <v>86.52</v>
      </c>
      <c r="I91" s="51">
        <f>2.4*30/20</f>
        <v>3.6</v>
      </c>
      <c r="J91" s="51">
        <f>1.8*30/20</f>
        <v>2.7</v>
      </c>
      <c r="K91" s="51">
        <f>0.08*30/20</f>
        <v>0.12</v>
      </c>
      <c r="L91" s="51">
        <f>3.6*30/20</f>
        <v>5.4</v>
      </c>
      <c r="M91" s="51">
        <v>0</v>
      </c>
      <c r="N91" s="51">
        <f>0.48*30/20</f>
        <v>0.72</v>
      </c>
      <c r="O91" s="148">
        <v>0</v>
      </c>
      <c r="P91" s="66"/>
    </row>
    <row r="92" spans="1:16">
      <c r="A92" s="122" t="s">
        <v>30</v>
      </c>
      <c r="B92" s="50"/>
      <c r="C92" s="50"/>
      <c r="D92" s="118">
        <f t="shared" ref="D92:O92" si="11">SUM(D88:D91)</f>
        <v>500</v>
      </c>
      <c r="E92" s="138">
        <f t="shared" si="11"/>
        <v>15.62</v>
      </c>
      <c r="F92" s="97">
        <f t="shared" si="11"/>
        <v>15.9</v>
      </c>
      <c r="G92" s="97">
        <f t="shared" si="11"/>
        <v>79.81</v>
      </c>
      <c r="H92" s="97">
        <f t="shared" si="11"/>
        <v>575</v>
      </c>
      <c r="I92" s="97">
        <f t="shared" si="11"/>
        <v>333.104</v>
      </c>
      <c r="J92" s="97">
        <f t="shared" si="11"/>
        <v>79.6</v>
      </c>
      <c r="K92" s="97">
        <f t="shared" si="11"/>
        <v>2.66</v>
      </c>
      <c r="L92" s="97">
        <f t="shared" si="11"/>
        <v>244.3</v>
      </c>
      <c r="M92" s="97">
        <f t="shared" si="11"/>
        <v>0.29</v>
      </c>
      <c r="N92" s="97">
        <f t="shared" si="11"/>
        <v>2.02</v>
      </c>
      <c r="O92" s="104">
        <f t="shared" si="11"/>
        <v>22.8114</v>
      </c>
      <c r="P92" s="66"/>
    </row>
    <row r="93" spans="1:16">
      <c r="A93" s="121" t="s">
        <v>31</v>
      </c>
      <c r="B93" s="121"/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42"/>
      <c r="P93" s="66"/>
    </row>
    <row r="94" ht="12.6" customHeight="1" spans="1:16">
      <c r="A94" s="117" t="s">
        <v>76</v>
      </c>
      <c r="B94" s="50">
        <v>2017</v>
      </c>
      <c r="C94" s="133">
        <v>96</v>
      </c>
      <c r="D94" s="51">
        <v>210</v>
      </c>
      <c r="E94" s="97">
        <v>2.48</v>
      </c>
      <c r="F94" s="97">
        <v>5</v>
      </c>
      <c r="G94" s="97">
        <v>24.08</v>
      </c>
      <c r="H94" s="97">
        <v>211.54</v>
      </c>
      <c r="I94" s="97">
        <v>21.16</v>
      </c>
      <c r="J94" s="97">
        <v>20.72</v>
      </c>
      <c r="K94" s="97">
        <v>0.78</v>
      </c>
      <c r="L94" s="97">
        <v>57.56</v>
      </c>
      <c r="M94" s="97">
        <v>0.08</v>
      </c>
      <c r="N94" s="97">
        <v>6.03</v>
      </c>
      <c r="O94" s="104">
        <v>0</v>
      </c>
      <c r="P94" s="66"/>
    </row>
    <row r="95" ht="12.6" customHeight="1" spans="1:16">
      <c r="A95" s="123" t="s">
        <v>33</v>
      </c>
      <c r="B95" s="50">
        <v>2017</v>
      </c>
      <c r="C95" s="50">
        <v>288</v>
      </c>
      <c r="D95" s="96">
        <v>10</v>
      </c>
      <c r="E95" s="97">
        <v>2.11</v>
      </c>
      <c r="F95" s="97">
        <v>1.36</v>
      </c>
      <c r="G95" s="97">
        <v>0</v>
      </c>
      <c r="H95" s="97">
        <v>20.67</v>
      </c>
      <c r="I95" s="97">
        <v>3.9</v>
      </c>
      <c r="J95" s="97">
        <v>2</v>
      </c>
      <c r="K95" s="97">
        <v>0.18</v>
      </c>
      <c r="L95" s="97">
        <v>14.3</v>
      </c>
      <c r="M95" s="97">
        <v>0.04</v>
      </c>
      <c r="N95" s="97">
        <v>0</v>
      </c>
      <c r="O95" s="104">
        <v>2.28</v>
      </c>
      <c r="P95" s="66"/>
    </row>
    <row r="96" ht="12.6" customHeight="1" spans="1:16">
      <c r="A96" s="123" t="s">
        <v>77</v>
      </c>
      <c r="B96" s="50">
        <v>2017</v>
      </c>
      <c r="C96" s="50">
        <v>88</v>
      </c>
      <c r="D96" s="96">
        <v>220</v>
      </c>
      <c r="E96" s="97">
        <v>9.4</v>
      </c>
      <c r="F96" s="97">
        <v>4.2</v>
      </c>
      <c r="G96" s="97">
        <v>23.7</v>
      </c>
      <c r="H96" s="97">
        <v>200.8</v>
      </c>
      <c r="I96" s="97">
        <v>33.98</v>
      </c>
      <c r="J96" s="97">
        <v>22.2</v>
      </c>
      <c r="K96" s="97">
        <v>0.83</v>
      </c>
      <c r="L96" s="97">
        <v>47.43</v>
      </c>
      <c r="M96" s="97">
        <v>0.08</v>
      </c>
      <c r="N96" s="97">
        <v>18.48</v>
      </c>
      <c r="O96" s="104">
        <v>0</v>
      </c>
      <c r="P96" s="66"/>
    </row>
    <row r="97" ht="12.6" customHeight="1" spans="1:16">
      <c r="A97" s="117" t="s">
        <v>49</v>
      </c>
      <c r="B97" s="50">
        <v>2017</v>
      </c>
      <c r="C97" s="133" t="s">
        <v>50</v>
      </c>
      <c r="D97" s="51">
        <v>90</v>
      </c>
      <c r="E97" s="97">
        <v>11.99</v>
      </c>
      <c r="F97" s="97">
        <v>12.05</v>
      </c>
      <c r="G97" s="97">
        <v>8.67</v>
      </c>
      <c r="H97" s="97"/>
      <c r="I97" s="97">
        <v>187.3</v>
      </c>
      <c r="J97" s="97">
        <v>21.1</v>
      </c>
      <c r="K97" s="97">
        <v>0.59</v>
      </c>
      <c r="L97" s="97">
        <v>77.7</v>
      </c>
      <c r="M97" s="97">
        <v>0.06</v>
      </c>
      <c r="N97" s="97">
        <v>0.82</v>
      </c>
      <c r="O97" s="104">
        <v>296.15</v>
      </c>
      <c r="P97" s="66"/>
    </row>
    <row r="98" ht="12.6" customHeight="1" spans="1:16">
      <c r="A98" s="49" t="s">
        <v>78</v>
      </c>
      <c r="B98" s="51">
        <v>2017</v>
      </c>
      <c r="C98" s="51">
        <v>312</v>
      </c>
      <c r="D98" s="51">
        <v>150</v>
      </c>
      <c r="E98" s="97">
        <v>3.06</v>
      </c>
      <c r="F98" s="97">
        <v>4.8</v>
      </c>
      <c r="G98" s="97">
        <v>20.45</v>
      </c>
      <c r="H98" s="97">
        <v>137.25</v>
      </c>
      <c r="I98" s="97">
        <v>36.98</v>
      </c>
      <c r="J98" s="97">
        <v>27.75</v>
      </c>
      <c r="K98" s="97">
        <v>1.01</v>
      </c>
      <c r="L98" s="97">
        <v>56.6</v>
      </c>
      <c r="M98" s="97">
        <v>0.14</v>
      </c>
      <c r="N98" s="97">
        <v>9.37</v>
      </c>
      <c r="O98" s="104">
        <v>25.5</v>
      </c>
      <c r="P98" s="66"/>
    </row>
    <row r="99" ht="12.6" customHeight="1" spans="1:16">
      <c r="A99" s="49" t="s">
        <v>79</v>
      </c>
      <c r="B99" s="51">
        <v>2017</v>
      </c>
      <c r="C99" s="51">
        <v>47</v>
      </c>
      <c r="D99" s="51">
        <v>60</v>
      </c>
      <c r="E99" s="97">
        <v>1.03</v>
      </c>
      <c r="F99" s="97">
        <v>3.01</v>
      </c>
      <c r="G99" s="97">
        <v>5.1</v>
      </c>
      <c r="H99" s="97">
        <v>51.62</v>
      </c>
      <c r="I99" s="97">
        <v>31.47</v>
      </c>
      <c r="J99" s="97">
        <v>7.64</v>
      </c>
      <c r="K99" s="97">
        <v>0.4</v>
      </c>
      <c r="L99" s="97">
        <v>20.45</v>
      </c>
      <c r="M99" s="97">
        <v>0.01</v>
      </c>
      <c r="N99" s="97">
        <v>11.93</v>
      </c>
      <c r="O99" s="104">
        <v>0</v>
      </c>
      <c r="P99" s="66"/>
    </row>
    <row r="100" ht="12.6" customHeight="1" spans="1:16">
      <c r="A100" s="49" t="s">
        <v>28</v>
      </c>
      <c r="B100" s="51">
        <v>2017</v>
      </c>
      <c r="C100" s="51">
        <v>376</v>
      </c>
      <c r="D100" s="97">
        <v>200</v>
      </c>
      <c r="E100" s="97">
        <v>0.2</v>
      </c>
      <c r="F100" s="97">
        <v>0</v>
      </c>
      <c r="G100" s="97">
        <v>14</v>
      </c>
      <c r="H100" s="97">
        <v>28</v>
      </c>
      <c r="I100" s="97">
        <v>6</v>
      </c>
      <c r="J100" s="97">
        <v>0</v>
      </c>
      <c r="K100" s="97">
        <v>0.4</v>
      </c>
      <c r="L100" s="97">
        <v>0</v>
      </c>
      <c r="M100" s="97">
        <v>0</v>
      </c>
      <c r="N100" s="97">
        <v>0</v>
      </c>
      <c r="O100" s="97">
        <v>0</v>
      </c>
      <c r="P100" s="66"/>
    </row>
    <row r="101" ht="12.6" customHeight="1" spans="1:16">
      <c r="A101" s="122" t="s">
        <v>38</v>
      </c>
      <c r="B101" s="50" t="s">
        <v>27</v>
      </c>
      <c r="C101" s="50" t="s">
        <v>27</v>
      </c>
      <c r="D101" s="96">
        <v>20</v>
      </c>
      <c r="E101" s="97">
        <v>1.58</v>
      </c>
      <c r="F101" s="97">
        <v>0.2</v>
      </c>
      <c r="G101" s="97">
        <v>9.66</v>
      </c>
      <c r="H101" s="97">
        <v>46.76</v>
      </c>
      <c r="I101" s="97">
        <v>4.6</v>
      </c>
      <c r="J101" s="97">
        <v>6.6</v>
      </c>
      <c r="K101" s="97">
        <v>0.22</v>
      </c>
      <c r="L101" s="97">
        <v>17.4</v>
      </c>
      <c r="M101" s="97">
        <v>0.08</v>
      </c>
      <c r="N101" s="97">
        <v>0</v>
      </c>
      <c r="O101" s="104">
        <v>0</v>
      </c>
      <c r="P101" s="66"/>
    </row>
    <row r="102" ht="12.6" customHeight="1" spans="1:16">
      <c r="A102" s="122" t="s">
        <v>39</v>
      </c>
      <c r="B102" s="50" t="s">
        <v>27</v>
      </c>
      <c r="C102" s="50" t="s">
        <v>27</v>
      </c>
      <c r="D102" s="50">
        <v>40</v>
      </c>
      <c r="E102" s="97">
        <v>2.24</v>
      </c>
      <c r="F102" s="97">
        <v>0.44</v>
      </c>
      <c r="G102" s="97">
        <v>19.76</v>
      </c>
      <c r="H102" s="97">
        <v>91.96</v>
      </c>
      <c r="I102" s="97">
        <v>9.2</v>
      </c>
      <c r="J102" s="97">
        <v>10</v>
      </c>
      <c r="K102" s="97">
        <v>1.24</v>
      </c>
      <c r="L102" s="97">
        <v>42.4</v>
      </c>
      <c r="M102" s="97">
        <v>0.04</v>
      </c>
      <c r="N102" s="97">
        <v>0</v>
      </c>
      <c r="O102" s="104">
        <v>0</v>
      </c>
      <c r="P102" s="66"/>
    </row>
    <row r="103" spans="1:16">
      <c r="A103" s="122" t="s">
        <v>30</v>
      </c>
      <c r="B103" s="50"/>
      <c r="C103" s="50"/>
      <c r="D103" s="51">
        <f t="shared" ref="D103:O103" si="12">SUM(D94:D102)</f>
        <v>1000</v>
      </c>
      <c r="E103" s="97">
        <f t="shared" si="12"/>
        <v>34.09</v>
      </c>
      <c r="F103" s="97">
        <f t="shared" si="12"/>
        <v>31.06</v>
      </c>
      <c r="G103" s="97">
        <f t="shared" si="12"/>
        <v>125.42</v>
      </c>
      <c r="H103" s="97">
        <f t="shared" si="12"/>
        <v>788.6</v>
      </c>
      <c r="I103" s="97">
        <f t="shared" si="12"/>
        <v>334.59</v>
      </c>
      <c r="J103" s="97">
        <f t="shared" si="12"/>
        <v>118.01</v>
      </c>
      <c r="K103" s="97">
        <f t="shared" si="12"/>
        <v>5.65</v>
      </c>
      <c r="L103" s="97">
        <f t="shared" si="12"/>
        <v>333.84</v>
      </c>
      <c r="M103" s="97">
        <f t="shared" si="12"/>
        <v>0.53</v>
      </c>
      <c r="N103" s="97">
        <f t="shared" si="12"/>
        <v>46.63</v>
      </c>
      <c r="O103" s="97">
        <f t="shared" si="12"/>
        <v>323.93</v>
      </c>
      <c r="P103" s="66"/>
    </row>
    <row r="104" s="2" customFormat="1" spans="1:16">
      <c r="A104" s="127" t="s">
        <v>41</v>
      </c>
      <c r="B104" s="128"/>
      <c r="C104" s="128"/>
      <c r="D104" s="134">
        <f>D103+D92</f>
        <v>1500</v>
      </c>
      <c r="E104" s="129">
        <f t="shared" ref="E104:O104" si="13">E103+E92</f>
        <v>49.71</v>
      </c>
      <c r="F104" s="129">
        <f t="shared" si="13"/>
        <v>46.96</v>
      </c>
      <c r="G104" s="129">
        <f t="shared" si="13"/>
        <v>205.23</v>
      </c>
      <c r="H104" s="129">
        <f t="shared" si="13"/>
        <v>1363.6</v>
      </c>
      <c r="I104" s="129">
        <f t="shared" si="13"/>
        <v>667.694</v>
      </c>
      <c r="J104" s="129">
        <f t="shared" si="13"/>
        <v>197.61</v>
      </c>
      <c r="K104" s="129">
        <f t="shared" si="13"/>
        <v>8.31</v>
      </c>
      <c r="L104" s="129">
        <f t="shared" si="13"/>
        <v>578.14</v>
      </c>
      <c r="M104" s="129">
        <f t="shared" si="13"/>
        <v>0.82</v>
      </c>
      <c r="N104" s="129">
        <f t="shared" si="13"/>
        <v>48.65</v>
      </c>
      <c r="O104" s="129">
        <f t="shared" si="13"/>
        <v>346.7414</v>
      </c>
      <c r="P104" s="69"/>
    </row>
    <row r="105" s="2" customFormat="1" spans="1:16">
      <c r="A105" s="127" t="s">
        <v>80</v>
      </c>
      <c r="B105" s="162"/>
      <c r="C105" s="162"/>
      <c r="D105" s="163">
        <f t="shared" ref="D105:O105" si="14">(D104+D85+D66+D48+D29)/5</f>
        <v>1503</v>
      </c>
      <c r="E105" s="129">
        <f t="shared" si="14"/>
        <v>45.4109155555556</v>
      </c>
      <c r="F105" s="129">
        <f t="shared" si="14"/>
        <v>46.0109555555556</v>
      </c>
      <c r="G105" s="129">
        <f t="shared" si="14"/>
        <v>195.663435555556</v>
      </c>
      <c r="H105" s="129">
        <f t="shared" si="14"/>
        <v>1372.54644444444</v>
      </c>
      <c r="I105" s="129">
        <f t="shared" si="14"/>
        <v>576.159466666667</v>
      </c>
      <c r="J105" s="129">
        <f t="shared" si="14"/>
        <v>172.177488888889</v>
      </c>
      <c r="K105" s="129">
        <f t="shared" si="14"/>
        <v>9.42666666666667</v>
      </c>
      <c r="L105" s="129">
        <f t="shared" si="14"/>
        <v>639.716488888889</v>
      </c>
      <c r="M105" s="129">
        <f t="shared" si="14"/>
        <v>0.8368</v>
      </c>
      <c r="N105" s="129">
        <f t="shared" si="14"/>
        <v>41.7824</v>
      </c>
      <c r="O105" s="129">
        <f t="shared" si="14"/>
        <v>376.26902</v>
      </c>
      <c r="P105" s="63"/>
    </row>
    <row r="106" s="2" customFormat="1" spans="1:16">
      <c r="A106" s="135" t="s">
        <v>81</v>
      </c>
      <c r="B106" s="158"/>
      <c r="C106" s="158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57"/>
    </row>
    <row r="107" s="2" customFormat="1" spans="1:16">
      <c r="A107" s="135" t="s">
        <v>23</v>
      </c>
      <c r="B107" s="135"/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57"/>
    </row>
    <row r="108" s="3" customFormat="1" ht="27" spans="1:16">
      <c r="A108" s="117" t="s">
        <v>82</v>
      </c>
      <c r="B108" s="96">
        <v>2017</v>
      </c>
      <c r="C108" s="96">
        <v>173</v>
      </c>
      <c r="D108" s="51">
        <v>210</v>
      </c>
      <c r="E108" s="97">
        <v>5.63</v>
      </c>
      <c r="F108" s="97">
        <v>8.8</v>
      </c>
      <c r="G108" s="97">
        <v>24.9</v>
      </c>
      <c r="H108" s="97">
        <v>195.2</v>
      </c>
      <c r="I108" s="97">
        <v>192.2</v>
      </c>
      <c r="J108" s="97">
        <v>23.06</v>
      </c>
      <c r="K108" s="97">
        <v>1.18</v>
      </c>
      <c r="L108" s="97">
        <v>117</v>
      </c>
      <c r="M108" s="97">
        <v>0.17</v>
      </c>
      <c r="N108" s="97">
        <v>0.54</v>
      </c>
      <c r="O108" s="104">
        <v>21.4190476190476</v>
      </c>
      <c r="P108" s="66" t="s">
        <v>81</v>
      </c>
    </row>
    <row r="109" s="3" customFormat="1" spans="1:16">
      <c r="A109" s="132" t="s">
        <v>45</v>
      </c>
      <c r="B109" s="51">
        <v>2017</v>
      </c>
      <c r="C109" s="51">
        <v>379</v>
      </c>
      <c r="D109" s="51">
        <v>200</v>
      </c>
      <c r="E109" s="97">
        <v>3.6</v>
      </c>
      <c r="F109" s="97">
        <v>2.67</v>
      </c>
      <c r="G109" s="97">
        <v>29.2</v>
      </c>
      <c r="H109" s="97">
        <v>155.2</v>
      </c>
      <c r="I109" s="97">
        <v>158.67</v>
      </c>
      <c r="J109" s="97">
        <v>6.8</v>
      </c>
      <c r="K109" s="97">
        <v>0.22</v>
      </c>
      <c r="L109" s="97">
        <v>82.4</v>
      </c>
      <c r="M109" s="97">
        <v>0.07</v>
      </c>
      <c r="N109" s="97">
        <v>1.17</v>
      </c>
      <c r="O109" s="104">
        <v>6.84</v>
      </c>
      <c r="P109" s="66"/>
    </row>
    <row r="110" s="3" customFormat="1" spans="1:16">
      <c r="A110" s="49" t="s">
        <v>83</v>
      </c>
      <c r="B110" s="51">
        <v>2017</v>
      </c>
      <c r="C110" s="51">
        <v>209</v>
      </c>
      <c r="D110" s="51">
        <v>40</v>
      </c>
      <c r="E110" s="97">
        <v>5.1</v>
      </c>
      <c r="F110" s="97">
        <v>4.6</v>
      </c>
      <c r="G110" s="97">
        <v>0.3</v>
      </c>
      <c r="H110" s="97">
        <v>63</v>
      </c>
      <c r="I110" s="97">
        <v>22</v>
      </c>
      <c r="J110" s="97">
        <v>4.8</v>
      </c>
      <c r="K110" s="97">
        <v>1</v>
      </c>
      <c r="L110" s="97">
        <v>76.8</v>
      </c>
      <c r="M110" s="97">
        <v>0.03</v>
      </c>
      <c r="N110" s="97">
        <v>0</v>
      </c>
      <c r="O110" s="104">
        <v>0.114</v>
      </c>
      <c r="P110" s="66"/>
    </row>
    <row r="111" s="3" customFormat="1" spans="1:16">
      <c r="A111" s="49" t="s">
        <v>26</v>
      </c>
      <c r="B111" s="50" t="s">
        <v>27</v>
      </c>
      <c r="C111" s="50" t="s">
        <v>27</v>
      </c>
      <c r="D111" s="97">
        <v>60</v>
      </c>
      <c r="E111" s="97">
        <v>4.74</v>
      </c>
      <c r="F111" s="97">
        <v>0.6</v>
      </c>
      <c r="G111" s="97">
        <v>28.98</v>
      </c>
      <c r="H111" s="97">
        <v>140.28</v>
      </c>
      <c r="I111" s="97">
        <v>13.8</v>
      </c>
      <c r="J111" s="97">
        <v>19.8</v>
      </c>
      <c r="K111" s="97">
        <v>0.66</v>
      </c>
      <c r="L111" s="97">
        <v>52.2</v>
      </c>
      <c r="M111" s="97">
        <v>0.1</v>
      </c>
      <c r="N111" s="97">
        <v>0</v>
      </c>
      <c r="O111" s="104">
        <v>0</v>
      </c>
      <c r="P111" s="66"/>
    </row>
    <row r="112" s="3" customFormat="1" spans="1:16">
      <c r="A112" s="155" t="s">
        <v>30</v>
      </c>
      <c r="B112" s="156"/>
      <c r="C112" s="156"/>
      <c r="D112" s="51">
        <v>510</v>
      </c>
      <c r="E112" s="97">
        <f t="shared" ref="E112:O112" si="15">SUM(E108:E111)</f>
        <v>19.07</v>
      </c>
      <c r="F112" s="97">
        <f t="shared" si="15"/>
        <v>16.67</v>
      </c>
      <c r="G112" s="97">
        <f t="shared" si="15"/>
        <v>83.38</v>
      </c>
      <c r="H112" s="97">
        <f t="shared" si="15"/>
        <v>553.68</v>
      </c>
      <c r="I112" s="97">
        <f t="shared" si="15"/>
        <v>386.67</v>
      </c>
      <c r="J112" s="97">
        <f t="shared" si="15"/>
        <v>54.46</v>
      </c>
      <c r="K112" s="97">
        <f t="shared" si="15"/>
        <v>3.06</v>
      </c>
      <c r="L112" s="97">
        <f t="shared" si="15"/>
        <v>328.4</v>
      </c>
      <c r="M112" s="97">
        <f t="shared" si="15"/>
        <v>0.37</v>
      </c>
      <c r="N112" s="97">
        <f t="shared" si="15"/>
        <v>1.71</v>
      </c>
      <c r="O112" s="104">
        <f t="shared" si="15"/>
        <v>28.3730476190476</v>
      </c>
      <c r="P112" s="66"/>
    </row>
    <row r="113" s="3" customFormat="1" spans="1:16">
      <c r="A113" s="121" t="s">
        <v>31</v>
      </c>
      <c r="B113" s="121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42"/>
      <c r="P113" s="66"/>
    </row>
    <row r="114" s="3" customFormat="1" spans="1:16">
      <c r="A114" s="122" t="s">
        <v>84</v>
      </c>
      <c r="B114" s="50">
        <v>2017</v>
      </c>
      <c r="C114" s="50">
        <v>102</v>
      </c>
      <c r="D114" s="96">
        <v>200</v>
      </c>
      <c r="E114" s="97">
        <v>2.12</v>
      </c>
      <c r="F114" s="97">
        <v>4.22</v>
      </c>
      <c r="G114" s="97">
        <v>13.06</v>
      </c>
      <c r="H114" s="97">
        <v>107.8</v>
      </c>
      <c r="I114" s="97">
        <v>30.46</v>
      </c>
      <c r="J114" s="97">
        <v>22.24</v>
      </c>
      <c r="K114" s="97">
        <v>1.62</v>
      </c>
      <c r="L114" s="97">
        <v>69.74</v>
      </c>
      <c r="M114" s="97">
        <v>0.18</v>
      </c>
      <c r="N114" s="97">
        <v>4.65</v>
      </c>
      <c r="O114" s="104">
        <v>0</v>
      </c>
      <c r="P114" s="66"/>
    </row>
    <row r="115" s="3" customFormat="1" spans="1:16">
      <c r="A115" s="123" t="s">
        <v>33</v>
      </c>
      <c r="B115" s="96">
        <v>2017</v>
      </c>
      <c r="C115" s="50">
        <v>288</v>
      </c>
      <c r="D115" s="96">
        <v>10</v>
      </c>
      <c r="E115" s="97">
        <v>2.11</v>
      </c>
      <c r="F115" s="97">
        <v>1.36</v>
      </c>
      <c r="G115" s="97">
        <v>0</v>
      </c>
      <c r="H115" s="97">
        <v>20.67</v>
      </c>
      <c r="I115" s="97">
        <v>3.9</v>
      </c>
      <c r="J115" s="97">
        <v>2</v>
      </c>
      <c r="K115" s="97">
        <v>0.18</v>
      </c>
      <c r="L115" s="97">
        <v>14.3</v>
      </c>
      <c r="M115" s="97">
        <v>0.04</v>
      </c>
      <c r="N115" s="97">
        <v>0</v>
      </c>
      <c r="O115" s="104">
        <v>2.28</v>
      </c>
      <c r="P115" s="66"/>
    </row>
    <row r="116" s="3" customFormat="1" spans="1:16">
      <c r="A116" s="123" t="s">
        <v>85</v>
      </c>
      <c r="B116" s="96">
        <v>2011</v>
      </c>
      <c r="C116" s="50">
        <v>95</v>
      </c>
      <c r="D116" s="96">
        <v>210</v>
      </c>
      <c r="E116" s="97">
        <v>4.2</v>
      </c>
      <c r="F116" s="97">
        <v>4.07</v>
      </c>
      <c r="G116" s="97">
        <v>10.2</v>
      </c>
      <c r="H116" s="104">
        <v>95.6</v>
      </c>
      <c r="I116" s="97">
        <v>16.55</v>
      </c>
      <c r="J116" s="97">
        <v>28</v>
      </c>
      <c r="K116" s="97">
        <v>1.03</v>
      </c>
      <c r="L116" s="97">
        <v>34.95</v>
      </c>
      <c r="M116" s="97">
        <v>0.15</v>
      </c>
      <c r="N116" s="97">
        <v>14.3</v>
      </c>
      <c r="O116" s="104">
        <v>0</v>
      </c>
      <c r="P116" s="66"/>
    </row>
    <row r="117" s="3" customFormat="1" ht="14.4" customHeight="1" spans="1:16">
      <c r="A117" s="132" t="s">
        <v>60</v>
      </c>
      <c r="B117" s="50">
        <v>2017</v>
      </c>
      <c r="C117" s="51">
        <v>291</v>
      </c>
      <c r="D117" s="51">
        <v>200</v>
      </c>
      <c r="E117" s="97">
        <v>18.12</v>
      </c>
      <c r="F117" s="97">
        <v>17.73</v>
      </c>
      <c r="G117" s="97">
        <v>42</v>
      </c>
      <c r="H117" s="104">
        <v>411.55</v>
      </c>
      <c r="I117" s="150">
        <v>45.1</v>
      </c>
      <c r="J117" s="150">
        <v>47.5</v>
      </c>
      <c r="K117" s="150">
        <v>2.19</v>
      </c>
      <c r="L117" s="150">
        <v>143.304</v>
      </c>
      <c r="M117" s="150">
        <v>0.06</v>
      </c>
      <c r="N117" s="150">
        <v>1.01</v>
      </c>
      <c r="O117" s="151">
        <v>248.03</v>
      </c>
      <c r="P117" s="66"/>
    </row>
    <row r="118" s="3" customFormat="1" ht="14.4" customHeight="1" spans="1:16">
      <c r="A118" s="49" t="s">
        <v>86</v>
      </c>
      <c r="B118" s="51">
        <v>2008</v>
      </c>
      <c r="C118" s="51">
        <v>17</v>
      </c>
      <c r="D118" s="51">
        <v>60</v>
      </c>
      <c r="E118" s="97">
        <v>0.52</v>
      </c>
      <c r="F118" s="97">
        <v>3.07</v>
      </c>
      <c r="G118" s="97">
        <v>1.57</v>
      </c>
      <c r="H118" s="97">
        <v>35.88</v>
      </c>
      <c r="I118" s="97">
        <v>13.97</v>
      </c>
      <c r="J118" s="97">
        <v>8.06</v>
      </c>
      <c r="K118" s="97">
        <v>0.37</v>
      </c>
      <c r="L118" s="97">
        <v>16.94</v>
      </c>
      <c r="M118" s="97">
        <v>0.01</v>
      </c>
      <c r="N118" s="97">
        <v>3.33</v>
      </c>
      <c r="O118" s="104">
        <v>0</v>
      </c>
      <c r="P118" s="66"/>
    </row>
    <row r="119" s="3" customFormat="1" customHeight="1" spans="1:16">
      <c r="A119" s="124" t="s">
        <v>40</v>
      </c>
      <c r="B119" s="125">
        <v>2017</v>
      </c>
      <c r="C119" s="125">
        <v>349</v>
      </c>
      <c r="D119" s="125">
        <v>200</v>
      </c>
      <c r="E119" s="126">
        <v>0.04</v>
      </c>
      <c r="F119" s="126">
        <v>0</v>
      </c>
      <c r="G119" s="126">
        <v>24.76</v>
      </c>
      <c r="H119" s="126">
        <v>94.2</v>
      </c>
      <c r="I119" s="126">
        <v>6.4</v>
      </c>
      <c r="J119" s="126">
        <v>0</v>
      </c>
      <c r="K119" s="126">
        <v>0.18</v>
      </c>
      <c r="L119" s="126">
        <v>3.6</v>
      </c>
      <c r="M119" s="126">
        <v>0.01</v>
      </c>
      <c r="N119" s="126">
        <v>1.08</v>
      </c>
      <c r="O119" s="126">
        <v>0</v>
      </c>
      <c r="P119" s="66"/>
    </row>
    <row r="120" spans="1:16">
      <c r="A120" s="122" t="s">
        <v>38</v>
      </c>
      <c r="B120" s="50" t="s">
        <v>27</v>
      </c>
      <c r="C120" s="50" t="s">
        <v>27</v>
      </c>
      <c r="D120" s="96">
        <v>20</v>
      </c>
      <c r="E120" s="97">
        <v>1.58</v>
      </c>
      <c r="F120" s="97">
        <v>0.2</v>
      </c>
      <c r="G120" s="97">
        <v>9.66</v>
      </c>
      <c r="H120" s="97">
        <v>46.76</v>
      </c>
      <c r="I120" s="97">
        <v>4.6</v>
      </c>
      <c r="J120" s="97">
        <v>6.6</v>
      </c>
      <c r="K120" s="97">
        <v>0.22</v>
      </c>
      <c r="L120" s="97">
        <v>17.4</v>
      </c>
      <c r="M120" s="97">
        <v>0.08</v>
      </c>
      <c r="N120" s="97">
        <v>0</v>
      </c>
      <c r="O120" s="104">
        <v>0</v>
      </c>
      <c r="P120" s="66"/>
    </row>
    <row r="121" spans="1:16">
      <c r="A121" s="122" t="s">
        <v>39</v>
      </c>
      <c r="B121" s="50" t="s">
        <v>27</v>
      </c>
      <c r="C121" s="50" t="s">
        <v>27</v>
      </c>
      <c r="D121" s="50">
        <v>40</v>
      </c>
      <c r="E121" s="97">
        <v>2.24</v>
      </c>
      <c r="F121" s="97">
        <v>0.44</v>
      </c>
      <c r="G121" s="97">
        <v>19.76</v>
      </c>
      <c r="H121" s="97">
        <v>91.96</v>
      </c>
      <c r="I121" s="97">
        <v>9.2</v>
      </c>
      <c r="J121" s="97">
        <v>10</v>
      </c>
      <c r="K121" s="97">
        <v>1.24</v>
      </c>
      <c r="L121" s="97">
        <v>42.4</v>
      </c>
      <c r="M121" s="97">
        <v>0.04</v>
      </c>
      <c r="N121" s="97">
        <v>0</v>
      </c>
      <c r="O121" s="104">
        <v>0</v>
      </c>
      <c r="P121" s="66"/>
    </row>
    <row r="122" spans="1:16">
      <c r="A122" s="155" t="s">
        <v>30</v>
      </c>
      <c r="B122" s="156"/>
      <c r="C122" s="156"/>
      <c r="D122" s="51">
        <f t="shared" ref="D122:O122" si="16">SUM(D114:D121)</f>
        <v>940</v>
      </c>
      <c r="E122" s="97">
        <f t="shared" si="16"/>
        <v>30.93</v>
      </c>
      <c r="F122" s="97">
        <f t="shared" si="16"/>
        <v>31.09</v>
      </c>
      <c r="G122" s="97">
        <f t="shared" si="16"/>
        <v>121.01</v>
      </c>
      <c r="H122" s="97">
        <f t="shared" si="16"/>
        <v>904.42</v>
      </c>
      <c r="I122" s="97">
        <f t="shared" si="16"/>
        <v>130.18</v>
      </c>
      <c r="J122" s="97">
        <f t="shared" si="16"/>
        <v>124.4</v>
      </c>
      <c r="K122" s="97">
        <f t="shared" si="16"/>
        <v>7.03</v>
      </c>
      <c r="L122" s="97">
        <f t="shared" si="16"/>
        <v>342.634</v>
      </c>
      <c r="M122" s="97">
        <f t="shared" si="16"/>
        <v>0.57</v>
      </c>
      <c r="N122" s="97">
        <f t="shared" si="16"/>
        <v>24.37</v>
      </c>
      <c r="O122" s="104">
        <f t="shared" si="16"/>
        <v>250.31</v>
      </c>
      <c r="P122" s="66"/>
    </row>
    <row r="123" s="2" customFormat="1" spans="1:16">
      <c r="A123" s="127" t="s">
        <v>41</v>
      </c>
      <c r="B123" s="128"/>
      <c r="C123" s="128"/>
      <c r="D123" s="134">
        <f>D122+D112</f>
        <v>1450</v>
      </c>
      <c r="E123" s="129">
        <f t="shared" ref="E123:O123" si="17">E122+E112</f>
        <v>50</v>
      </c>
      <c r="F123" s="129">
        <f t="shared" si="17"/>
        <v>47.76</v>
      </c>
      <c r="G123" s="129">
        <f t="shared" si="17"/>
        <v>204.39</v>
      </c>
      <c r="H123" s="129">
        <f t="shared" si="17"/>
        <v>1458.1</v>
      </c>
      <c r="I123" s="129">
        <f t="shared" si="17"/>
        <v>516.85</v>
      </c>
      <c r="J123" s="129">
        <f t="shared" si="17"/>
        <v>178.86</v>
      </c>
      <c r="K123" s="129">
        <f t="shared" si="17"/>
        <v>10.09</v>
      </c>
      <c r="L123" s="129">
        <f t="shared" si="17"/>
        <v>671.034</v>
      </c>
      <c r="M123" s="129">
        <f t="shared" si="17"/>
        <v>0.94</v>
      </c>
      <c r="N123" s="129">
        <f t="shared" si="17"/>
        <v>26.08</v>
      </c>
      <c r="O123" s="143">
        <f t="shared" si="17"/>
        <v>278.683047619048</v>
      </c>
      <c r="P123" s="69"/>
    </row>
    <row r="124" s="2" customFormat="1" spans="1:16">
      <c r="A124" s="135" t="s">
        <v>87</v>
      </c>
      <c r="B124" s="135"/>
      <c r="C124" s="135"/>
      <c r="D124" s="135"/>
      <c r="E124" s="135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57"/>
    </row>
    <row r="125" s="2" customFormat="1" spans="1:16">
      <c r="A125" s="135" t="s">
        <v>23</v>
      </c>
      <c r="B125" s="135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65" t="s">
        <v>87</v>
      </c>
    </row>
    <row r="126" ht="27" spans="1:16">
      <c r="A126" s="117" t="s">
        <v>88</v>
      </c>
      <c r="B126" s="50">
        <v>2017</v>
      </c>
      <c r="C126" s="50">
        <v>188</v>
      </c>
      <c r="D126" s="51">
        <v>180</v>
      </c>
      <c r="E126" s="97">
        <v>9.08608695652174</v>
      </c>
      <c r="F126" s="97">
        <v>4.28</v>
      </c>
      <c r="G126" s="97">
        <v>32.27</v>
      </c>
      <c r="H126" s="97">
        <v>195.6</v>
      </c>
      <c r="I126" s="97">
        <v>156.38</v>
      </c>
      <c r="J126" s="97">
        <v>27.26</v>
      </c>
      <c r="K126" s="97">
        <v>0.962608695652174</v>
      </c>
      <c r="L126" s="97">
        <v>144.727826086957</v>
      </c>
      <c r="M126" s="97">
        <v>0.0704347826086957</v>
      </c>
      <c r="N126" s="97">
        <v>1.56521739130435</v>
      </c>
      <c r="O126" s="104">
        <v>25.422</v>
      </c>
      <c r="P126" s="66"/>
    </row>
    <row r="127" spans="1:16">
      <c r="A127" s="161" t="s">
        <v>75</v>
      </c>
      <c r="B127" s="118">
        <v>2017</v>
      </c>
      <c r="C127" s="154">
        <v>382</v>
      </c>
      <c r="D127" s="118">
        <v>200</v>
      </c>
      <c r="E127" s="97">
        <v>3.52</v>
      </c>
      <c r="F127" s="97">
        <v>3.72</v>
      </c>
      <c r="G127" s="97">
        <v>25.49</v>
      </c>
      <c r="H127" s="97">
        <v>145.2</v>
      </c>
      <c r="I127" s="97">
        <v>122</v>
      </c>
      <c r="J127" s="97">
        <v>14</v>
      </c>
      <c r="K127" s="97">
        <v>0.56</v>
      </c>
      <c r="L127" s="97">
        <v>39</v>
      </c>
      <c r="M127" s="97">
        <v>0.04</v>
      </c>
      <c r="N127" s="97">
        <v>1.3</v>
      </c>
      <c r="O127" s="104">
        <v>0.0114</v>
      </c>
      <c r="P127" s="66"/>
    </row>
    <row r="128" spans="1:16">
      <c r="A128" s="49" t="s">
        <v>64</v>
      </c>
      <c r="B128" s="51">
        <v>3</v>
      </c>
      <c r="C128" s="51">
        <v>2017</v>
      </c>
      <c r="D128" s="118">
        <v>40</v>
      </c>
      <c r="E128" s="97">
        <v>4.9</v>
      </c>
      <c r="F128" s="97">
        <v>11.55</v>
      </c>
      <c r="G128" s="97">
        <v>17.1</v>
      </c>
      <c r="H128" s="97">
        <v>193</v>
      </c>
      <c r="I128" s="97">
        <v>106</v>
      </c>
      <c r="J128" s="97">
        <v>4.8</v>
      </c>
      <c r="K128" s="97">
        <v>0.12</v>
      </c>
      <c r="L128" s="97">
        <v>0.09</v>
      </c>
      <c r="M128" s="97">
        <v>0.06</v>
      </c>
      <c r="N128" s="97">
        <v>0.11</v>
      </c>
      <c r="O128" s="104">
        <v>39</v>
      </c>
      <c r="P128" s="66"/>
    </row>
    <row r="129" spans="1:16">
      <c r="A129" s="49" t="s">
        <v>65</v>
      </c>
      <c r="B129" s="51">
        <v>2017</v>
      </c>
      <c r="C129" s="51">
        <v>338</v>
      </c>
      <c r="D129" s="118">
        <v>100</v>
      </c>
      <c r="E129" s="97">
        <v>0.9</v>
      </c>
      <c r="F129" s="97">
        <v>0.2</v>
      </c>
      <c r="G129" s="97">
        <v>8.1</v>
      </c>
      <c r="H129" s="97">
        <v>37.8</v>
      </c>
      <c r="I129" s="97">
        <v>34</v>
      </c>
      <c r="J129" s="97">
        <v>13</v>
      </c>
      <c r="K129" s="97">
        <v>0.3</v>
      </c>
      <c r="L129" s="97">
        <v>18.33</v>
      </c>
      <c r="M129" s="97">
        <v>0.04</v>
      </c>
      <c r="N129" s="97">
        <v>26</v>
      </c>
      <c r="O129" s="104">
        <v>0</v>
      </c>
      <c r="P129" s="66"/>
    </row>
    <row r="130" spans="1:16">
      <c r="A130" s="155" t="s">
        <v>30</v>
      </c>
      <c r="B130" s="156"/>
      <c r="C130" s="156"/>
      <c r="D130" s="51">
        <v>520</v>
      </c>
      <c r="E130" s="97">
        <f>SUM(E126:E129)</f>
        <v>18.4060869565217</v>
      </c>
      <c r="F130" s="97">
        <f>SUM(F126:F129)</f>
        <v>19.75</v>
      </c>
      <c r="G130" s="97">
        <f>SUM(G126:G129)</f>
        <v>82.96</v>
      </c>
      <c r="H130" s="97">
        <f>SUM(H126:H129)</f>
        <v>571.6</v>
      </c>
      <c r="I130" s="97">
        <v>418.38</v>
      </c>
      <c r="J130" s="97">
        <v>59.06</v>
      </c>
      <c r="K130" s="97">
        <v>1.94260869565217</v>
      </c>
      <c r="L130" s="97">
        <v>202.147826086957</v>
      </c>
      <c r="M130" s="97">
        <v>0.210434782608696</v>
      </c>
      <c r="N130" s="97">
        <v>28.9752173913043</v>
      </c>
      <c r="O130" s="104">
        <v>64.4334</v>
      </c>
      <c r="P130" s="66"/>
    </row>
    <row r="131" spans="1:16">
      <c r="A131" s="135" t="s">
        <v>31</v>
      </c>
      <c r="B131" s="135"/>
      <c r="C131" s="135"/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66"/>
    </row>
    <row r="132" ht="13.95" customHeight="1" spans="1:16">
      <c r="A132" s="117" t="s">
        <v>89</v>
      </c>
      <c r="B132" s="165">
        <v>2017</v>
      </c>
      <c r="C132" s="165">
        <v>63</v>
      </c>
      <c r="D132" s="166">
        <v>210</v>
      </c>
      <c r="E132" s="150">
        <v>3.423</v>
      </c>
      <c r="F132" s="150">
        <v>1.512</v>
      </c>
      <c r="G132" s="150">
        <v>7.854</v>
      </c>
      <c r="H132" s="150">
        <v>81.333</v>
      </c>
      <c r="I132" s="150">
        <v>71.61</v>
      </c>
      <c r="J132" s="150">
        <v>18.13</v>
      </c>
      <c r="K132" s="150">
        <v>1.12</v>
      </c>
      <c r="L132" s="150">
        <v>22.71</v>
      </c>
      <c r="M132" s="170">
        <v>0.084</v>
      </c>
      <c r="N132" s="170">
        <v>9.954</v>
      </c>
      <c r="O132" s="151">
        <v>8.4</v>
      </c>
      <c r="P132" s="66"/>
    </row>
    <row r="133" ht="13.95" customHeight="1" spans="1:16">
      <c r="A133" s="117" t="s">
        <v>66</v>
      </c>
      <c r="B133" s="165">
        <v>2017</v>
      </c>
      <c r="C133" s="165">
        <v>99</v>
      </c>
      <c r="D133" s="166">
        <v>210</v>
      </c>
      <c r="E133" s="167">
        <v>1.68</v>
      </c>
      <c r="F133" s="167">
        <v>5.98</v>
      </c>
      <c r="G133" s="167">
        <v>9.35</v>
      </c>
      <c r="H133" s="167">
        <v>98.37</v>
      </c>
      <c r="I133" s="167">
        <v>43.25</v>
      </c>
      <c r="J133" s="167">
        <v>27.5</v>
      </c>
      <c r="K133" s="167">
        <v>0.83</v>
      </c>
      <c r="L133" s="167">
        <v>188.25</v>
      </c>
      <c r="M133" s="173">
        <v>0.08</v>
      </c>
      <c r="N133" s="173">
        <v>10.63</v>
      </c>
      <c r="O133" s="174">
        <v>0</v>
      </c>
      <c r="P133" s="66"/>
    </row>
    <row r="134" ht="13.95" customHeight="1" spans="1:16">
      <c r="A134" s="49" t="s">
        <v>90</v>
      </c>
      <c r="B134" s="51">
        <v>2017</v>
      </c>
      <c r="C134" s="51" t="s">
        <v>91</v>
      </c>
      <c r="D134" s="168">
        <v>90</v>
      </c>
      <c r="E134" s="169">
        <v>9.33</v>
      </c>
      <c r="F134" s="169">
        <v>14.59</v>
      </c>
      <c r="G134" s="169">
        <v>9.87</v>
      </c>
      <c r="H134" s="169">
        <v>205.64</v>
      </c>
      <c r="I134" s="169">
        <v>49</v>
      </c>
      <c r="J134" s="169">
        <v>12.4</v>
      </c>
      <c r="K134" s="169">
        <v>1.13</v>
      </c>
      <c r="L134" s="169">
        <v>209.3</v>
      </c>
      <c r="M134" s="169">
        <v>0.1</v>
      </c>
      <c r="N134" s="169">
        <v>0.4</v>
      </c>
      <c r="O134" s="175">
        <v>212.37</v>
      </c>
      <c r="P134" s="66"/>
    </row>
    <row r="135" ht="13.95" customHeight="1" spans="1:16">
      <c r="A135" s="49" t="s">
        <v>92</v>
      </c>
      <c r="B135" s="51">
        <v>2017</v>
      </c>
      <c r="C135" s="51">
        <v>202</v>
      </c>
      <c r="D135" s="168">
        <v>150</v>
      </c>
      <c r="E135" s="140">
        <v>5.52</v>
      </c>
      <c r="F135" s="140">
        <v>4.52</v>
      </c>
      <c r="G135" s="140">
        <v>26.45</v>
      </c>
      <c r="H135" s="140">
        <v>168.45</v>
      </c>
      <c r="I135" s="140">
        <v>4.86</v>
      </c>
      <c r="J135" s="140">
        <v>21.12</v>
      </c>
      <c r="K135" s="140">
        <v>1.11</v>
      </c>
      <c r="L135" s="140">
        <v>37.17</v>
      </c>
      <c r="M135" s="140">
        <v>0.06</v>
      </c>
      <c r="N135" s="140">
        <v>0</v>
      </c>
      <c r="O135" s="149">
        <v>67</v>
      </c>
      <c r="P135" s="66"/>
    </row>
    <row r="136" ht="13.95" customHeight="1" spans="1:16">
      <c r="A136" s="49" t="s">
        <v>52</v>
      </c>
      <c r="B136" s="51">
        <v>2017</v>
      </c>
      <c r="C136" s="51">
        <v>49</v>
      </c>
      <c r="D136" s="51">
        <v>60</v>
      </c>
      <c r="E136" s="97">
        <v>1.5588</v>
      </c>
      <c r="F136" s="97">
        <v>3.732</v>
      </c>
      <c r="G136" s="97">
        <v>13.2894</v>
      </c>
      <c r="H136" s="97">
        <v>92.94</v>
      </c>
      <c r="I136" s="146">
        <v>44.886</v>
      </c>
      <c r="J136" s="146">
        <v>23.67</v>
      </c>
      <c r="K136" s="146">
        <v>0.29</v>
      </c>
      <c r="L136" s="146">
        <v>12.87</v>
      </c>
      <c r="M136" s="146">
        <v>0.162</v>
      </c>
      <c r="N136" s="146">
        <v>3.67</v>
      </c>
      <c r="O136" s="147">
        <v>21.37</v>
      </c>
      <c r="P136" s="66"/>
    </row>
    <row r="137" ht="13.95" customHeight="1" spans="1:16">
      <c r="A137" s="49" t="s">
        <v>28</v>
      </c>
      <c r="B137" s="51">
        <v>2017</v>
      </c>
      <c r="C137" s="51">
        <v>376</v>
      </c>
      <c r="D137" s="118">
        <v>200</v>
      </c>
      <c r="E137" s="97">
        <v>0.2</v>
      </c>
      <c r="F137" s="97">
        <v>0</v>
      </c>
      <c r="G137" s="97">
        <v>14</v>
      </c>
      <c r="H137" s="97">
        <v>28</v>
      </c>
      <c r="I137" s="97">
        <v>6</v>
      </c>
      <c r="J137" s="97">
        <v>0</v>
      </c>
      <c r="K137" s="97">
        <v>0.4</v>
      </c>
      <c r="L137" s="97">
        <v>0</v>
      </c>
      <c r="M137" s="97">
        <v>0</v>
      </c>
      <c r="N137" s="97">
        <v>0</v>
      </c>
      <c r="O137" s="97">
        <v>0</v>
      </c>
      <c r="P137" s="66"/>
    </row>
    <row r="138" ht="13.95" customHeight="1" spans="1:16">
      <c r="A138" s="122" t="s">
        <v>38</v>
      </c>
      <c r="B138" s="50" t="s">
        <v>27</v>
      </c>
      <c r="C138" s="50" t="s">
        <v>27</v>
      </c>
      <c r="D138" s="96">
        <v>20</v>
      </c>
      <c r="E138" s="97">
        <v>1.58</v>
      </c>
      <c r="F138" s="97">
        <v>0.2</v>
      </c>
      <c r="G138" s="97">
        <v>9.66</v>
      </c>
      <c r="H138" s="97">
        <v>46.76</v>
      </c>
      <c r="I138" s="97">
        <v>4.6</v>
      </c>
      <c r="J138" s="97">
        <v>6.6</v>
      </c>
      <c r="K138" s="97">
        <v>0.22</v>
      </c>
      <c r="L138" s="97">
        <v>17.4</v>
      </c>
      <c r="M138" s="97">
        <v>0.08</v>
      </c>
      <c r="N138" s="97">
        <v>0</v>
      </c>
      <c r="O138" s="104">
        <v>0</v>
      </c>
      <c r="P138" s="66"/>
    </row>
    <row r="139" ht="13.95" customHeight="1" spans="1:16">
      <c r="A139" s="122" t="s">
        <v>39</v>
      </c>
      <c r="B139" s="50" t="s">
        <v>27</v>
      </c>
      <c r="C139" s="50" t="s">
        <v>27</v>
      </c>
      <c r="D139" s="50">
        <v>40</v>
      </c>
      <c r="E139" s="97">
        <v>2.24</v>
      </c>
      <c r="F139" s="97">
        <v>0.44</v>
      </c>
      <c r="G139" s="97">
        <v>19.76</v>
      </c>
      <c r="H139" s="97">
        <v>91.96</v>
      </c>
      <c r="I139" s="97">
        <v>9.2</v>
      </c>
      <c r="J139" s="97">
        <v>10</v>
      </c>
      <c r="K139" s="97">
        <v>1.24</v>
      </c>
      <c r="L139" s="97">
        <v>42.4</v>
      </c>
      <c r="M139" s="97">
        <v>0.04</v>
      </c>
      <c r="N139" s="97">
        <v>0</v>
      </c>
      <c r="O139" s="104">
        <v>0</v>
      </c>
      <c r="P139" s="66"/>
    </row>
    <row r="140" spans="1:16">
      <c r="A140" s="155" t="s">
        <v>30</v>
      </c>
      <c r="B140" s="156"/>
      <c r="C140" s="156"/>
      <c r="D140" s="51">
        <f t="shared" ref="D140:O140" si="18">SUM(D132:D139)</f>
        <v>980</v>
      </c>
      <c r="E140" s="97">
        <f t="shared" si="18"/>
        <v>25.5318</v>
      </c>
      <c r="F140" s="97">
        <f t="shared" si="18"/>
        <v>30.974</v>
      </c>
      <c r="G140" s="97">
        <f t="shared" si="18"/>
        <v>110.2334</v>
      </c>
      <c r="H140" s="97">
        <f t="shared" si="18"/>
        <v>813.453</v>
      </c>
      <c r="I140" s="97">
        <f t="shared" si="18"/>
        <v>233.406</v>
      </c>
      <c r="J140" s="97">
        <f t="shared" si="18"/>
        <v>119.42</v>
      </c>
      <c r="K140" s="97">
        <f t="shared" si="18"/>
        <v>6.34</v>
      </c>
      <c r="L140" s="97">
        <f t="shared" si="18"/>
        <v>530.1</v>
      </c>
      <c r="M140" s="97">
        <f t="shared" si="18"/>
        <v>0.606</v>
      </c>
      <c r="N140" s="97">
        <f t="shared" si="18"/>
        <v>24.654</v>
      </c>
      <c r="O140" s="104">
        <f t="shared" si="18"/>
        <v>309.14</v>
      </c>
      <c r="P140" s="66"/>
    </row>
    <row r="141" s="2" customFormat="1" spans="1:16">
      <c r="A141" s="127" t="s">
        <v>41</v>
      </c>
      <c r="B141" s="128"/>
      <c r="C141" s="128"/>
      <c r="D141" s="134">
        <f>D140+D130</f>
        <v>1500</v>
      </c>
      <c r="E141" s="129">
        <f t="shared" ref="E141:O141" si="19">E140+E130</f>
        <v>43.9378869565217</v>
      </c>
      <c r="F141" s="129">
        <f t="shared" si="19"/>
        <v>50.724</v>
      </c>
      <c r="G141" s="129">
        <f t="shared" si="19"/>
        <v>193.1934</v>
      </c>
      <c r="H141" s="129">
        <f t="shared" si="19"/>
        <v>1385.053</v>
      </c>
      <c r="I141" s="129">
        <f t="shared" si="19"/>
        <v>651.786</v>
      </c>
      <c r="J141" s="129">
        <f t="shared" si="19"/>
        <v>178.48</v>
      </c>
      <c r="K141" s="129">
        <f t="shared" si="19"/>
        <v>8.28260869565218</v>
      </c>
      <c r="L141" s="129">
        <f t="shared" si="19"/>
        <v>732.247826086957</v>
      </c>
      <c r="M141" s="129">
        <f t="shared" si="19"/>
        <v>0.816434782608696</v>
      </c>
      <c r="N141" s="129">
        <f t="shared" si="19"/>
        <v>53.6292173913044</v>
      </c>
      <c r="O141" s="143">
        <f t="shared" si="19"/>
        <v>373.5734</v>
      </c>
      <c r="P141" s="69"/>
    </row>
    <row r="142" s="2" customFormat="1" spans="1:16">
      <c r="A142" s="135" t="s">
        <v>93</v>
      </c>
      <c r="B142" s="158"/>
      <c r="C142" s="158"/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57"/>
    </row>
    <row r="143" s="2" customFormat="1" spans="1:16">
      <c r="A143" s="159" t="s">
        <v>23</v>
      </c>
      <c r="B143" s="160"/>
      <c r="C143" s="160"/>
      <c r="D143" s="160"/>
      <c r="E143" s="160"/>
      <c r="F143" s="160"/>
      <c r="G143" s="160"/>
      <c r="H143" s="160"/>
      <c r="I143" s="160"/>
      <c r="J143" s="160"/>
      <c r="K143" s="160"/>
      <c r="L143" s="160"/>
      <c r="M143" s="160"/>
      <c r="N143" s="160"/>
      <c r="O143" s="176"/>
      <c r="P143" s="177" t="s">
        <v>93</v>
      </c>
    </row>
    <row r="144" ht="15.6" customHeight="1" spans="1:16">
      <c r="A144" s="117" t="s">
        <v>94</v>
      </c>
      <c r="B144" s="96">
        <v>2017</v>
      </c>
      <c r="C144" s="96">
        <v>174</v>
      </c>
      <c r="D144" s="118">
        <v>210</v>
      </c>
      <c r="E144" s="51">
        <v>10.46</v>
      </c>
      <c r="F144" s="97">
        <v>15.3</v>
      </c>
      <c r="G144" s="97">
        <v>23.02</v>
      </c>
      <c r="H144" s="97">
        <v>265.87</v>
      </c>
      <c r="I144" s="97">
        <v>195</v>
      </c>
      <c r="J144" s="97">
        <v>43.06</v>
      </c>
      <c r="K144" s="97">
        <v>0.47</v>
      </c>
      <c r="L144" s="97">
        <v>67</v>
      </c>
      <c r="M144" s="97">
        <v>0.03</v>
      </c>
      <c r="N144" s="97">
        <v>0</v>
      </c>
      <c r="O144" s="97">
        <v>22.8</v>
      </c>
      <c r="P144" s="59"/>
    </row>
    <row r="145" spans="1:16">
      <c r="A145" s="161" t="s">
        <v>53</v>
      </c>
      <c r="B145" s="156">
        <v>2017</v>
      </c>
      <c r="C145" s="156">
        <v>377</v>
      </c>
      <c r="D145" s="118">
        <v>200</v>
      </c>
      <c r="E145" s="97">
        <v>0.13</v>
      </c>
      <c r="F145" s="97">
        <v>0.02</v>
      </c>
      <c r="G145" s="97">
        <v>10.25</v>
      </c>
      <c r="H145" s="97">
        <v>41.68</v>
      </c>
      <c r="I145" s="97">
        <v>14.05</v>
      </c>
      <c r="J145" s="97">
        <v>2.4</v>
      </c>
      <c r="K145" s="97">
        <v>0.38</v>
      </c>
      <c r="L145" s="97">
        <v>4.4</v>
      </c>
      <c r="M145" s="97">
        <v>0</v>
      </c>
      <c r="N145" s="97">
        <v>2.83</v>
      </c>
      <c r="O145" s="104">
        <v>0</v>
      </c>
      <c r="P145" s="59"/>
    </row>
    <row r="146" spans="1:16">
      <c r="A146" s="119" t="s">
        <v>29</v>
      </c>
      <c r="B146" s="96" t="s">
        <v>27</v>
      </c>
      <c r="C146" s="96" t="s">
        <v>27</v>
      </c>
      <c r="D146" s="96">
        <v>30</v>
      </c>
      <c r="E146" s="51">
        <v>0.15</v>
      </c>
      <c r="F146" s="51">
        <v>0</v>
      </c>
      <c r="G146" s="51">
        <v>21.48</v>
      </c>
      <c r="H146" s="51">
        <v>86.52</v>
      </c>
      <c r="I146" s="51">
        <v>3.6</v>
      </c>
      <c r="J146" s="51">
        <v>2.7</v>
      </c>
      <c r="K146" s="51">
        <v>0.12</v>
      </c>
      <c r="L146" s="51">
        <v>5.4</v>
      </c>
      <c r="M146" s="51">
        <v>0</v>
      </c>
      <c r="N146" s="51">
        <v>0.72</v>
      </c>
      <c r="O146" s="148">
        <v>0</v>
      </c>
      <c r="P146" s="59"/>
    </row>
    <row r="147" spans="1:16">
      <c r="A147" s="49" t="s">
        <v>26</v>
      </c>
      <c r="B147" s="51" t="s">
        <v>27</v>
      </c>
      <c r="C147" s="51" t="s">
        <v>27</v>
      </c>
      <c r="D147" s="97">
        <v>60</v>
      </c>
      <c r="E147" s="97">
        <v>4.74</v>
      </c>
      <c r="F147" s="97">
        <v>0.6</v>
      </c>
      <c r="G147" s="97">
        <v>28.98</v>
      </c>
      <c r="H147" s="97">
        <v>140.28</v>
      </c>
      <c r="I147" s="97">
        <v>13.8</v>
      </c>
      <c r="J147" s="97">
        <v>19.8</v>
      </c>
      <c r="K147" s="97">
        <v>0.66</v>
      </c>
      <c r="L147" s="97">
        <v>52.2</v>
      </c>
      <c r="M147" s="97">
        <v>0.1</v>
      </c>
      <c r="N147" s="97">
        <v>0</v>
      </c>
      <c r="O147" s="104">
        <v>0</v>
      </c>
      <c r="P147" s="59"/>
    </row>
    <row r="148" spans="1:16">
      <c r="A148" s="155" t="s">
        <v>30</v>
      </c>
      <c r="B148" s="156"/>
      <c r="C148" s="156"/>
      <c r="D148" s="51">
        <v>500</v>
      </c>
      <c r="E148" s="97">
        <f t="shared" ref="E148:O148" si="20">SUM(E144:E147)</f>
        <v>15.48</v>
      </c>
      <c r="F148" s="97">
        <f t="shared" si="20"/>
        <v>15.92</v>
      </c>
      <c r="G148" s="97">
        <f t="shared" si="20"/>
        <v>83.73</v>
      </c>
      <c r="H148" s="97">
        <f t="shared" si="20"/>
        <v>534.35</v>
      </c>
      <c r="I148" s="97">
        <f t="shared" si="20"/>
        <v>226.45</v>
      </c>
      <c r="J148" s="97">
        <f t="shared" si="20"/>
        <v>67.96</v>
      </c>
      <c r="K148" s="97">
        <f t="shared" si="20"/>
        <v>1.63</v>
      </c>
      <c r="L148" s="97">
        <f t="shared" si="20"/>
        <v>129</v>
      </c>
      <c r="M148" s="97">
        <f t="shared" si="20"/>
        <v>0.13</v>
      </c>
      <c r="N148" s="97">
        <f t="shared" si="20"/>
        <v>3.55</v>
      </c>
      <c r="O148" s="97">
        <f t="shared" si="20"/>
        <v>22.8</v>
      </c>
      <c r="P148" s="59"/>
    </row>
    <row r="149" spans="1:16">
      <c r="A149" s="135" t="s">
        <v>31</v>
      </c>
      <c r="B149" s="135"/>
      <c r="C149" s="135"/>
      <c r="D149" s="135"/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59"/>
    </row>
    <row r="150" spans="1:16">
      <c r="A150" s="49" t="s">
        <v>95</v>
      </c>
      <c r="B150" s="96">
        <v>2017</v>
      </c>
      <c r="C150" s="96">
        <v>97</v>
      </c>
      <c r="D150" s="51">
        <v>200</v>
      </c>
      <c r="E150" s="126">
        <v>1.87</v>
      </c>
      <c r="F150" s="126">
        <v>2.26</v>
      </c>
      <c r="G150" s="126">
        <v>13.31</v>
      </c>
      <c r="H150" s="126">
        <v>81</v>
      </c>
      <c r="I150" s="126">
        <v>20.68</v>
      </c>
      <c r="J150" s="126">
        <v>14.9</v>
      </c>
      <c r="K150" s="145">
        <v>0.94</v>
      </c>
      <c r="L150" s="51">
        <v>61.44</v>
      </c>
      <c r="M150" s="126">
        <v>0.11</v>
      </c>
      <c r="N150" s="126">
        <v>1.6</v>
      </c>
      <c r="O150" s="126">
        <v>0</v>
      </c>
      <c r="P150" s="59"/>
    </row>
    <row r="151" spans="1:16">
      <c r="A151" s="49" t="s">
        <v>96</v>
      </c>
      <c r="B151" s="96">
        <v>2017</v>
      </c>
      <c r="C151" s="50">
        <v>226</v>
      </c>
      <c r="D151" s="148">
        <v>20</v>
      </c>
      <c r="E151" s="170">
        <v>3.508</v>
      </c>
      <c r="F151" s="170">
        <v>0.476</v>
      </c>
      <c r="G151" s="170">
        <v>0.062</v>
      </c>
      <c r="H151" s="170">
        <v>18.5</v>
      </c>
      <c r="I151" s="170">
        <v>3.376</v>
      </c>
      <c r="J151" s="170">
        <v>2.6</v>
      </c>
      <c r="K151" s="51">
        <v>0.14</v>
      </c>
      <c r="L151" s="170">
        <v>34.4</v>
      </c>
      <c r="M151" s="170">
        <v>0.018</v>
      </c>
      <c r="N151" s="170">
        <v>0.07</v>
      </c>
      <c r="O151" s="170">
        <v>1.71</v>
      </c>
      <c r="P151" s="59"/>
    </row>
    <row r="152" ht="18" customHeight="1" spans="1:16">
      <c r="A152" s="171" t="s">
        <v>97</v>
      </c>
      <c r="B152" s="96">
        <v>2011</v>
      </c>
      <c r="C152" s="50">
        <v>106</v>
      </c>
      <c r="D152" s="148">
        <v>220</v>
      </c>
      <c r="E152" s="170">
        <v>1.5</v>
      </c>
      <c r="F152" s="170">
        <v>2.2</v>
      </c>
      <c r="G152" s="170">
        <v>13.6</v>
      </c>
      <c r="H152" s="170">
        <v>84.8</v>
      </c>
      <c r="I152" s="126">
        <v>20.68</v>
      </c>
      <c r="J152" s="126">
        <v>14.9</v>
      </c>
      <c r="K152" s="145">
        <v>0.94</v>
      </c>
      <c r="L152" s="51">
        <v>61.44</v>
      </c>
      <c r="M152" s="126">
        <v>0.11</v>
      </c>
      <c r="N152" s="126">
        <v>1.6</v>
      </c>
      <c r="O152" s="126">
        <v>0</v>
      </c>
      <c r="P152" s="59"/>
    </row>
    <row r="153" spans="1:16">
      <c r="A153" s="172" t="s">
        <v>98</v>
      </c>
      <c r="B153" s="51">
        <v>2017</v>
      </c>
      <c r="C153" s="51">
        <v>290</v>
      </c>
      <c r="D153" s="51">
        <v>90</v>
      </c>
      <c r="E153" s="51">
        <v>10.35</v>
      </c>
      <c r="F153" s="51">
        <v>12.12</v>
      </c>
      <c r="G153" s="51">
        <v>5.36</v>
      </c>
      <c r="H153" s="51">
        <v>170.58</v>
      </c>
      <c r="I153" s="51">
        <v>38.9</v>
      </c>
      <c r="J153" s="51">
        <v>13.4</v>
      </c>
      <c r="K153" s="51">
        <v>0.91</v>
      </c>
      <c r="L153" s="51">
        <v>13.6</v>
      </c>
      <c r="M153" s="51">
        <v>0.05</v>
      </c>
      <c r="N153" s="51">
        <v>1.44</v>
      </c>
      <c r="O153" s="51">
        <v>219.9</v>
      </c>
      <c r="P153" s="59"/>
    </row>
    <row r="154" ht="13.95" customHeight="1" spans="1:16">
      <c r="A154" s="49" t="s">
        <v>78</v>
      </c>
      <c r="B154" s="51">
        <v>2017</v>
      </c>
      <c r="C154" s="51">
        <v>312</v>
      </c>
      <c r="D154" s="51">
        <v>150</v>
      </c>
      <c r="E154" s="97">
        <v>3.06</v>
      </c>
      <c r="F154" s="97">
        <v>4.8</v>
      </c>
      <c r="G154" s="97">
        <v>20.45</v>
      </c>
      <c r="H154" s="97">
        <v>137.25</v>
      </c>
      <c r="I154" s="97">
        <v>36.98</v>
      </c>
      <c r="J154" s="97">
        <v>27.75</v>
      </c>
      <c r="K154" s="97">
        <v>1.01</v>
      </c>
      <c r="L154" s="97">
        <v>56.6</v>
      </c>
      <c r="M154" s="97">
        <v>0.14</v>
      </c>
      <c r="N154" s="97">
        <v>9.37</v>
      </c>
      <c r="O154" s="104">
        <v>25.5</v>
      </c>
      <c r="P154" s="59"/>
    </row>
    <row r="155" spans="1:16">
      <c r="A155" s="49" t="s">
        <v>71</v>
      </c>
      <c r="B155" s="51">
        <v>2017</v>
      </c>
      <c r="C155" s="51">
        <v>52</v>
      </c>
      <c r="D155" s="51">
        <v>60</v>
      </c>
      <c r="E155" s="51">
        <v>0.86</v>
      </c>
      <c r="F155" s="51">
        <v>3.65</v>
      </c>
      <c r="G155" s="51">
        <v>8.08</v>
      </c>
      <c r="H155" s="51">
        <v>66.37</v>
      </c>
      <c r="I155" s="51">
        <v>21.09</v>
      </c>
      <c r="J155" s="51">
        <v>12.54</v>
      </c>
      <c r="K155" s="51">
        <v>0.8</v>
      </c>
      <c r="L155" s="164">
        <v>24.58</v>
      </c>
      <c r="M155" s="51">
        <v>0.01</v>
      </c>
      <c r="N155" s="51">
        <v>5.7</v>
      </c>
      <c r="O155" s="148">
        <v>0</v>
      </c>
      <c r="P155" s="59"/>
    </row>
    <row r="156" spans="1:16">
      <c r="A156" s="49" t="s">
        <v>99</v>
      </c>
      <c r="B156" s="50">
        <v>2008</v>
      </c>
      <c r="C156" s="50">
        <v>436</v>
      </c>
      <c r="D156" s="51">
        <v>200</v>
      </c>
      <c r="E156" s="51">
        <v>0.18</v>
      </c>
      <c r="F156" s="51">
        <v>0.02</v>
      </c>
      <c r="G156" s="51">
        <v>27.46</v>
      </c>
      <c r="H156" s="51">
        <v>94.58</v>
      </c>
      <c r="I156" s="51">
        <v>16.3</v>
      </c>
      <c r="J156" s="51">
        <v>4.1</v>
      </c>
      <c r="K156" s="51">
        <v>0.18</v>
      </c>
      <c r="L156" s="51">
        <v>4.4</v>
      </c>
      <c r="M156" s="51">
        <v>0.26</v>
      </c>
      <c r="N156" s="51">
        <v>25.5</v>
      </c>
      <c r="O156" s="51">
        <v>0.1</v>
      </c>
      <c r="P156" s="59"/>
    </row>
    <row r="157" spans="1:16">
      <c r="A157" s="122" t="s">
        <v>38</v>
      </c>
      <c r="B157" s="96" t="s">
        <v>27</v>
      </c>
      <c r="C157" s="96" t="s">
        <v>27</v>
      </c>
      <c r="D157" s="96">
        <v>20</v>
      </c>
      <c r="E157" s="97">
        <v>1.58</v>
      </c>
      <c r="F157" s="97">
        <v>0.2</v>
      </c>
      <c r="G157" s="97">
        <v>9.66</v>
      </c>
      <c r="H157" s="97">
        <v>46.76</v>
      </c>
      <c r="I157" s="97">
        <v>4.6</v>
      </c>
      <c r="J157" s="97">
        <v>6.6</v>
      </c>
      <c r="K157" s="97">
        <v>0.22</v>
      </c>
      <c r="L157" s="97">
        <v>17.4</v>
      </c>
      <c r="M157" s="97">
        <v>0.08</v>
      </c>
      <c r="N157" s="97">
        <v>0</v>
      </c>
      <c r="O157" s="104">
        <v>0</v>
      </c>
      <c r="P157" s="59"/>
    </row>
    <row r="158" spans="1:16">
      <c r="A158" s="122" t="s">
        <v>39</v>
      </c>
      <c r="B158" s="51" t="s">
        <v>27</v>
      </c>
      <c r="C158" s="51" t="s">
        <v>27</v>
      </c>
      <c r="D158" s="50">
        <v>40</v>
      </c>
      <c r="E158" s="97">
        <v>2.24</v>
      </c>
      <c r="F158" s="97">
        <v>0.44</v>
      </c>
      <c r="G158" s="97">
        <v>19.76</v>
      </c>
      <c r="H158" s="97">
        <v>91.96</v>
      </c>
      <c r="I158" s="97">
        <v>9.2</v>
      </c>
      <c r="J158" s="97">
        <v>10</v>
      </c>
      <c r="K158" s="97">
        <v>1.24</v>
      </c>
      <c r="L158" s="97">
        <v>42.4</v>
      </c>
      <c r="M158" s="97">
        <v>0.04</v>
      </c>
      <c r="N158" s="97">
        <v>0</v>
      </c>
      <c r="O158" s="104">
        <v>0</v>
      </c>
      <c r="P158" s="59"/>
    </row>
    <row r="159" spans="1:16">
      <c r="A159" s="155" t="s">
        <v>30</v>
      </c>
      <c r="B159" s="156"/>
      <c r="C159" s="156"/>
      <c r="D159" s="51">
        <f>SUM(D150:D158)</f>
        <v>1000</v>
      </c>
      <c r="E159" s="97">
        <f t="shared" ref="E159:O159" si="21">SUM(E150:E158)</f>
        <v>25.148</v>
      </c>
      <c r="F159" s="97">
        <f t="shared" si="21"/>
        <v>26.166</v>
      </c>
      <c r="G159" s="97">
        <f t="shared" si="21"/>
        <v>117.742</v>
      </c>
      <c r="H159" s="97">
        <f t="shared" si="21"/>
        <v>791.8</v>
      </c>
      <c r="I159" s="97">
        <f t="shared" si="21"/>
        <v>171.806</v>
      </c>
      <c r="J159" s="97">
        <f t="shared" si="21"/>
        <v>106.79</v>
      </c>
      <c r="K159" s="97">
        <f t="shared" si="21"/>
        <v>6.38</v>
      </c>
      <c r="L159" s="97">
        <f t="shared" si="21"/>
        <v>316.26</v>
      </c>
      <c r="M159" s="97">
        <f t="shared" si="21"/>
        <v>0.818</v>
      </c>
      <c r="N159" s="97">
        <f t="shared" si="21"/>
        <v>45.28</v>
      </c>
      <c r="O159" s="97">
        <f t="shared" si="21"/>
        <v>247.21</v>
      </c>
      <c r="P159" s="59"/>
    </row>
    <row r="160" s="2" customFormat="1" spans="1:16">
      <c r="A160" s="127" t="s">
        <v>41</v>
      </c>
      <c r="B160" s="128"/>
      <c r="C160" s="128"/>
      <c r="D160" s="134">
        <f>D159+D148</f>
        <v>1500</v>
      </c>
      <c r="E160" s="129">
        <f t="shared" ref="E160:O160" si="22">E159+E148</f>
        <v>40.628</v>
      </c>
      <c r="F160" s="129">
        <f t="shared" si="22"/>
        <v>42.086</v>
      </c>
      <c r="G160" s="129">
        <f t="shared" si="22"/>
        <v>201.472</v>
      </c>
      <c r="H160" s="129">
        <f t="shared" si="22"/>
        <v>1326.15</v>
      </c>
      <c r="I160" s="129">
        <f t="shared" si="22"/>
        <v>398.256</v>
      </c>
      <c r="J160" s="129">
        <f t="shared" si="22"/>
        <v>174.75</v>
      </c>
      <c r="K160" s="129">
        <f t="shared" si="22"/>
        <v>8.01</v>
      </c>
      <c r="L160" s="129">
        <f t="shared" si="22"/>
        <v>445.26</v>
      </c>
      <c r="M160" s="129">
        <f t="shared" si="22"/>
        <v>0.948</v>
      </c>
      <c r="N160" s="129">
        <f t="shared" si="22"/>
        <v>48.83</v>
      </c>
      <c r="O160" s="129">
        <f t="shared" si="22"/>
        <v>270.01</v>
      </c>
      <c r="P160" s="59"/>
    </row>
    <row r="161" s="2" customFormat="1" spans="1:16">
      <c r="A161" s="136" t="s">
        <v>100</v>
      </c>
      <c r="B161" s="121"/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42"/>
      <c r="P161" s="57"/>
    </row>
    <row r="162" s="2" customFormat="1" spans="1:16">
      <c r="A162" s="136" t="s">
        <v>23</v>
      </c>
      <c r="B162" s="121"/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42"/>
      <c r="P162" s="178" t="s">
        <v>100</v>
      </c>
    </row>
    <row r="163" ht="27.6" customHeight="1" spans="1:16">
      <c r="A163" s="117" t="s">
        <v>24</v>
      </c>
      <c r="B163" s="96">
        <v>2017</v>
      </c>
      <c r="C163" s="96">
        <v>173</v>
      </c>
      <c r="D163" s="118">
        <v>210</v>
      </c>
      <c r="E163" s="97">
        <v>7.04</v>
      </c>
      <c r="F163" s="97">
        <v>10.42</v>
      </c>
      <c r="G163" s="97">
        <v>19.12</v>
      </c>
      <c r="H163" s="97">
        <v>193.64</v>
      </c>
      <c r="I163" s="97">
        <v>158.65</v>
      </c>
      <c r="J163" s="97">
        <v>57.64</v>
      </c>
      <c r="K163" s="97">
        <v>1.41</v>
      </c>
      <c r="L163" s="97">
        <v>66.37</v>
      </c>
      <c r="M163" s="97">
        <v>0.21</v>
      </c>
      <c r="N163" s="97">
        <v>0.525</v>
      </c>
      <c r="O163" s="97">
        <v>17.67</v>
      </c>
      <c r="P163" s="66"/>
    </row>
    <row r="164" spans="1:16">
      <c r="A164" s="49" t="s">
        <v>25</v>
      </c>
      <c r="B164" s="96">
        <v>2017</v>
      </c>
      <c r="C164" s="96">
        <v>15</v>
      </c>
      <c r="D164" s="97">
        <v>15</v>
      </c>
      <c r="E164" s="97">
        <v>3.48</v>
      </c>
      <c r="F164" s="97">
        <v>4.43</v>
      </c>
      <c r="G164" s="97">
        <v>0</v>
      </c>
      <c r="H164" s="97">
        <v>54.6</v>
      </c>
      <c r="I164" s="97">
        <v>132</v>
      </c>
      <c r="J164" s="97">
        <v>5.25</v>
      </c>
      <c r="K164" s="97">
        <v>0.15</v>
      </c>
      <c r="L164" s="97">
        <v>75</v>
      </c>
      <c r="M164" s="97">
        <v>0.01</v>
      </c>
      <c r="N164" s="97">
        <v>0.11</v>
      </c>
      <c r="O164" s="104">
        <v>39</v>
      </c>
      <c r="P164" s="66"/>
    </row>
    <row r="165" s="3" customFormat="1" ht="14.4" customHeight="1" spans="1:16">
      <c r="A165" s="49" t="s">
        <v>26</v>
      </c>
      <c r="B165" s="96" t="s">
        <v>27</v>
      </c>
      <c r="C165" s="96" t="s">
        <v>27</v>
      </c>
      <c r="D165" s="97">
        <v>60</v>
      </c>
      <c r="E165" s="97">
        <v>4.74</v>
      </c>
      <c r="F165" s="97">
        <v>0.6</v>
      </c>
      <c r="G165" s="97">
        <v>28.98</v>
      </c>
      <c r="H165" s="97">
        <v>140.28</v>
      </c>
      <c r="I165" s="97">
        <v>13.8</v>
      </c>
      <c r="J165" s="97">
        <v>19.8</v>
      </c>
      <c r="K165" s="97">
        <v>0.66</v>
      </c>
      <c r="L165" s="97">
        <v>52.2</v>
      </c>
      <c r="M165" s="97">
        <v>0.1</v>
      </c>
      <c r="N165" s="97">
        <v>0</v>
      </c>
      <c r="O165" s="104">
        <v>0</v>
      </c>
      <c r="P165" s="66"/>
    </row>
    <row r="166" spans="1:16">
      <c r="A166" s="49" t="s">
        <v>56</v>
      </c>
      <c r="B166" s="96" t="s">
        <v>27</v>
      </c>
      <c r="C166" s="96" t="s">
        <v>27</v>
      </c>
      <c r="D166" s="51">
        <v>20</v>
      </c>
      <c r="E166" s="97">
        <v>0.38</v>
      </c>
      <c r="F166" s="97">
        <v>1.08</v>
      </c>
      <c r="G166" s="97">
        <v>6.41</v>
      </c>
      <c r="H166" s="97">
        <v>35.27</v>
      </c>
      <c r="I166" s="97">
        <v>8.2</v>
      </c>
      <c r="J166" s="97">
        <v>3</v>
      </c>
      <c r="K166" s="97">
        <v>0.2</v>
      </c>
      <c r="L166" s="97">
        <v>17.4</v>
      </c>
      <c r="M166" s="97">
        <v>0.02</v>
      </c>
      <c r="N166" s="97">
        <v>0</v>
      </c>
      <c r="O166" s="104">
        <v>14.82</v>
      </c>
      <c r="P166" s="66"/>
    </row>
    <row r="167" s="3" customFormat="1" spans="1:16">
      <c r="A167" s="123" t="s">
        <v>45</v>
      </c>
      <c r="B167" s="51">
        <v>2017</v>
      </c>
      <c r="C167" s="51">
        <v>379</v>
      </c>
      <c r="D167" s="51">
        <v>200</v>
      </c>
      <c r="E167" s="51">
        <v>3.6</v>
      </c>
      <c r="F167" s="51">
        <v>2.67</v>
      </c>
      <c r="G167" s="51">
        <v>29.2</v>
      </c>
      <c r="H167" s="51">
        <v>155.2</v>
      </c>
      <c r="I167" s="51">
        <v>158.67</v>
      </c>
      <c r="J167" s="51">
        <v>6.8</v>
      </c>
      <c r="K167" s="51">
        <v>0.22</v>
      </c>
      <c r="L167" s="51">
        <v>82.4</v>
      </c>
      <c r="M167" s="51">
        <v>0.07</v>
      </c>
      <c r="N167" s="51">
        <v>1.17</v>
      </c>
      <c r="O167" s="148">
        <v>6.84</v>
      </c>
      <c r="P167" s="66"/>
    </row>
    <row r="168" s="3" customFormat="1" spans="1:16">
      <c r="A168" s="155" t="s">
        <v>30</v>
      </c>
      <c r="B168" s="156"/>
      <c r="C168" s="156"/>
      <c r="D168" s="97">
        <v>505</v>
      </c>
      <c r="E168" s="97">
        <f>SUM(E163:E167)</f>
        <v>19.24</v>
      </c>
      <c r="F168" s="97">
        <f>SUM(F163:F167)</f>
        <v>19.2</v>
      </c>
      <c r="G168" s="97">
        <f>SUM(G163:G167)</f>
        <v>83.71</v>
      </c>
      <c r="H168" s="97">
        <f>SUM(H163:H167)</f>
        <v>578.99</v>
      </c>
      <c r="I168" s="97">
        <v>471.32</v>
      </c>
      <c r="J168" s="97">
        <f>SUM(J163:J167)</f>
        <v>92.49</v>
      </c>
      <c r="K168" s="97">
        <f>SUM(K163:K167)</f>
        <v>2.64</v>
      </c>
      <c r="L168" s="97">
        <v>293.37</v>
      </c>
      <c r="M168" s="97">
        <v>0.41</v>
      </c>
      <c r="N168" s="97">
        <v>1.805</v>
      </c>
      <c r="O168" s="104">
        <v>78.33</v>
      </c>
      <c r="P168" s="66"/>
    </row>
    <row r="169" s="3" customFormat="1" spans="1:16">
      <c r="A169" s="121" t="s">
        <v>31</v>
      </c>
      <c r="B169" s="121"/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42"/>
      <c r="P169" s="66"/>
    </row>
    <row r="170" s="3" customFormat="1" ht="27" spans="1:16">
      <c r="A170" s="117" t="s">
        <v>101</v>
      </c>
      <c r="B170" s="96">
        <v>2017</v>
      </c>
      <c r="C170" s="96">
        <v>92</v>
      </c>
      <c r="D170" s="51">
        <v>210</v>
      </c>
      <c r="E170" s="97">
        <v>1.31</v>
      </c>
      <c r="F170" s="97">
        <v>2.22</v>
      </c>
      <c r="G170" s="97">
        <v>5.018</v>
      </c>
      <c r="H170" s="97">
        <v>65.2</v>
      </c>
      <c r="I170" s="97">
        <v>37.86</v>
      </c>
      <c r="J170" s="97">
        <v>16.34</v>
      </c>
      <c r="K170" s="97">
        <v>0.62</v>
      </c>
      <c r="L170" s="97">
        <v>35.42</v>
      </c>
      <c r="M170" s="97">
        <v>0.02</v>
      </c>
      <c r="N170" s="97">
        <v>4.86</v>
      </c>
      <c r="O170" s="104">
        <v>0</v>
      </c>
      <c r="P170" s="66"/>
    </row>
    <row r="171" s="3" customFormat="1" ht="14.4" customHeight="1" spans="1:16">
      <c r="A171" s="123" t="s">
        <v>33</v>
      </c>
      <c r="B171" s="96">
        <v>2017</v>
      </c>
      <c r="C171" s="96">
        <v>288</v>
      </c>
      <c r="D171" s="96">
        <v>10</v>
      </c>
      <c r="E171" s="97">
        <v>2.11</v>
      </c>
      <c r="F171" s="97">
        <v>1.36</v>
      </c>
      <c r="G171" s="97">
        <v>0</v>
      </c>
      <c r="H171" s="97">
        <v>20.67</v>
      </c>
      <c r="I171" s="97">
        <v>3.9</v>
      </c>
      <c r="J171" s="97">
        <v>2</v>
      </c>
      <c r="K171" s="97">
        <v>0.18</v>
      </c>
      <c r="L171" s="97">
        <v>14.3</v>
      </c>
      <c r="M171" s="97">
        <v>0.04</v>
      </c>
      <c r="N171" s="97">
        <v>0</v>
      </c>
      <c r="O171" s="104">
        <v>2.28</v>
      </c>
      <c r="P171" s="66"/>
    </row>
    <row r="172" s="3" customFormat="1" ht="14.4" customHeight="1" spans="1:16">
      <c r="A172" s="123" t="s">
        <v>102</v>
      </c>
      <c r="B172" s="96">
        <v>2017</v>
      </c>
      <c r="C172" s="96">
        <v>115</v>
      </c>
      <c r="D172" s="96">
        <v>220</v>
      </c>
      <c r="E172" s="97">
        <v>1.7</v>
      </c>
      <c r="F172" s="97">
        <v>2.8</v>
      </c>
      <c r="G172" s="97">
        <v>4.7</v>
      </c>
      <c r="H172" s="97">
        <v>72.1</v>
      </c>
      <c r="I172" s="97">
        <v>30.46</v>
      </c>
      <c r="J172" s="97">
        <v>22.24</v>
      </c>
      <c r="K172" s="97">
        <v>1.62</v>
      </c>
      <c r="L172" s="97">
        <v>69.74</v>
      </c>
      <c r="M172" s="97">
        <v>0.18</v>
      </c>
      <c r="N172" s="97">
        <v>4.65</v>
      </c>
      <c r="O172" s="104">
        <v>0</v>
      </c>
      <c r="P172" s="66"/>
    </row>
    <row r="173" s="3" customFormat="1" ht="14.4" customHeight="1" spans="1:16">
      <c r="A173" s="157" t="s">
        <v>68</v>
      </c>
      <c r="B173" s="50">
        <v>2017</v>
      </c>
      <c r="C173" s="50" t="s">
        <v>69</v>
      </c>
      <c r="D173" s="51">
        <v>90</v>
      </c>
      <c r="E173" s="97">
        <v>12</v>
      </c>
      <c r="F173" s="97">
        <v>10.64</v>
      </c>
      <c r="G173" s="97">
        <v>11.66</v>
      </c>
      <c r="H173" s="97">
        <v>172.12</v>
      </c>
      <c r="I173" s="97">
        <v>163.879999999999</v>
      </c>
      <c r="J173" s="97">
        <v>12.77</v>
      </c>
      <c r="K173" s="97">
        <v>1.08</v>
      </c>
      <c r="L173" s="97">
        <v>43.19</v>
      </c>
      <c r="M173" s="97">
        <v>0.1</v>
      </c>
      <c r="N173" s="97">
        <v>0.1</v>
      </c>
      <c r="O173" s="104">
        <v>241.65</v>
      </c>
      <c r="P173" s="66"/>
    </row>
    <row r="174" s="3" customFormat="1" ht="14.4" customHeight="1" spans="1:16">
      <c r="A174" s="49" t="s">
        <v>103</v>
      </c>
      <c r="B174" s="51">
        <v>2017</v>
      </c>
      <c r="C174" s="51">
        <v>321</v>
      </c>
      <c r="D174" s="51">
        <v>150</v>
      </c>
      <c r="E174" s="97">
        <v>2.78</v>
      </c>
      <c r="F174" s="97">
        <v>6.48</v>
      </c>
      <c r="G174" s="97">
        <v>34.52</v>
      </c>
      <c r="H174" s="97">
        <v>213.53</v>
      </c>
      <c r="I174" s="97">
        <v>21.96</v>
      </c>
      <c r="J174" s="97">
        <v>28.96</v>
      </c>
      <c r="K174" s="97">
        <v>1.73</v>
      </c>
      <c r="L174" s="97">
        <v>119.59</v>
      </c>
      <c r="M174" s="97">
        <v>0.23</v>
      </c>
      <c r="N174" s="97">
        <v>31.5</v>
      </c>
      <c r="O174" s="104">
        <v>35.91</v>
      </c>
      <c r="P174" s="66"/>
    </row>
    <row r="175" s="3" customFormat="1" spans="1:16">
      <c r="A175" s="19" t="s">
        <v>37</v>
      </c>
      <c r="B175" s="24">
        <v>2017</v>
      </c>
      <c r="C175" s="24">
        <v>71</v>
      </c>
      <c r="D175" s="33">
        <v>60</v>
      </c>
      <c r="E175" s="34">
        <v>2.16</v>
      </c>
      <c r="F175" s="34">
        <v>4.04</v>
      </c>
      <c r="G175" s="34">
        <v>1.01</v>
      </c>
      <c r="H175" s="34">
        <v>48.79</v>
      </c>
      <c r="I175" s="34">
        <v>13.8</v>
      </c>
      <c r="J175" s="34">
        <v>7</v>
      </c>
      <c r="K175" s="34">
        <v>0.42</v>
      </c>
      <c r="L175" s="34">
        <v>12</v>
      </c>
      <c r="M175" s="34">
        <v>0</v>
      </c>
      <c r="N175" s="34">
        <v>14.4</v>
      </c>
      <c r="O175" s="61">
        <v>0</v>
      </c>
      <c r="P175" s="66"/>
    </row>
    <row r="176" s="3" customFormat="1" spans="1:16">
      <c r="A176" s="49" t="s">
        <v>72</v>
      </c>
      <c r="B176" s="51">
        <v>2017</v>
      </c>
      <c r="C176" s="51">
        <v>342</v>
      </c>
      <c r="D176" s="51">
        <v>200</v>
      </c>
      <c r="E176" s="97">
        <v>0.2</v>
      </c>
      <c r="F176" s="97">
        <v>0.2</v>
      </c>
      <c r="G176" s="97">
        <v>22.3</v>
      </c>
      <c r="H176" s="97">
        <v>110</v>
      </c>
      <c r="I176" s="97">
        <v>12</v>
      </c>
      <c r="J176" s="97">
        <v>0</v>
      </c>
      <c r="K176" s="97">
        <v>0.8</v>
      </c>
      <c r="L176" s="97">
        <v>2.4</v>
      </c>
      <c r="M176" s="97">
        <v>0.02</v>
      </c>
      <c r="N176" s="97">
        <v>0</v>
      </c>
      <c r="O176" s="104">
        <v>0</v>
      </c>
      <c r="P176" s="66"/>
    </row>
    <row r="177" spans="1:16">
      <c r="A177" s="122" t="s">
        <v>38</v>
      </c>
      <c r="B177" s="96" t="s">
        <v>27</v>
      </c>
      <c r="C177" s="96" t="s">
        <v>27</v>
      </c>
      <c r="D177" s="96">
        <v>20</v>
      </c>
      <c r="E177" s="97">
        <v>1.58</v>
      </c>
      <c r="F177" s="97">
        <v>0.2</v>
      </c>
      <c r="G177" s="97">
        <v>9.66</v>
      </c>
      <c r="H177" s="97">
        <v>46.76</v>
      </c>
      <c r="I177" s="97">
        <v>4.6</v>
      </c>
      <c r="J177" s="97">
        <v>6.6</v>
      </c>
      <c r="K177" s="97">
        <v>0.22</v>
      </c>
      <c r="L177" s="97">
        <v>17.4</v>
      </c>
      <c r="M177" s="97">
        <v>0.08</v>
      </c>
      <c r="N177" s="97">
        <v>0</v>
      </c>
      <c r="O177" s="104">
        <v>0</v>
      </c>
      <c r="P177" s="66"/>
    </row>
    <row r="178" spans="1:16">
      <c r="A178" s="122" t="s">
        <v>39</v>
      </c>
      <c r="B178" s="96" t="s">
        <v>27</v>
      </c>
      <c r="C178" s="96" t="s">
        <v>27</v>
      </c>
      <c r="D178" s="50">
        <v>40</v>
      </c>
      <c r="E178" s="97">
        <v>2.24</v>
      </c>
      <c r="F178" s="97">
        <v>0.44</v>
      </c>
      <c r="G178" s="97">
        <v>19.76</v>
      </c>
      <c r="H178" s="97">
        <v>91.96</v>
      </c>
      <c r="I178" s="97">
        <v>9.2</v>
      </c>
      <c r="J178" s="97">
        <v>10</v>
      </c>
      <c r="K178" s="97">
        <v>1.24</v>
      </c>
      <c r="L178" s="97">
        <v>42.4</v>
      </c>
      <c r="M178" s="97">
        <v>0.04</v>
      </c>
      <c r="N178" s="97">
        <v>0</v>
      </c>
      <c r="O178" s="104">
        <v>0</v>
      </c>
      <c r="P178" s="66"/>
    </row>
    <row r="179" spans="1:16">
      <c r="A179" s="155" t="s">
        <v>30</v>
      </c>
      <c r="B179" s="156"/>
      <c r="C179" s="156"/>
      <c r="D179" s="51">
        <f t="shared" ref="D179:O179" si="23">SUM(D170:D178)</f>
        <v>1000</v>
      </c>
      <c r="E179" s="97">
        <f t="shared" si="23"/>
        <v>26.08</v>
      </c>
      <c r="F179" s="97">
        <f t="shared" si="23"/>
        <v>28.38</v>
      </c>
      <c r="G179" s="97">
        <f t="shared" si="23"/>
        <v>108.628</v>
      </c>
      <c r="H179" s="97">
        <f t="shared" si="23"/>
        <v>841.13</v>
      </c>
      <c r="I179" s="97">
        <f t="shared" si="23"/>
        <v>297.659999999999</v>
      </c>
      <c r="J179" s="97">
        <f t="shared" si="23"/>
        <v>105.91</v>
      </c>
      <c r="K179" s="97">
        <f t="shared" si="23"/>
        <v>7.91</v>
      </c>
      <c r="L179" s="97">
        <f t="shared" si="23"/>
        <v>356.44</v>
      </c>
      <c r="M179" s="97">
        <f t="shared" si="23"/>
        <v>0.71</v>
      </c>
      <c r="N179" s="97">
        <f t="shared" si="23"/>
        <v>55.51</v>
      </c>
      <c r="O179" s="104">
        <f t="shared" si="23"/>
        <v>279.84</v>
      </c>
      <c r="P179" s="66"/>
    </row>
    <row r="180" s="2" customFormat="1" spans="1:16">
      <c r="A180" s="127" t="s">
        <v>41</v>
      </c>
      <c r="B180" s="128"/>
      <c r="C180" s="128"/>
      <c r="D180" s="129">
        <f t="shared" ref="D180:K180" si="24">D179+D168</f>
        <v>1505</v>
      </c>
      <c r="E180" s="129">
        <f t="shared" si="24"/>
        <v>45.32</v>
      </c>
      <c r="F180" s="129">
        <f t="shared" si="24"/>
        <v>47.58</v>
      </c>
      <c r="G180" s="129">
        <f t="shared" si="24"/>
        <v>192.338</v>
      </c>
      <c r="H180" s="129">
        <f t="shared" si="24"/>
        <v>1420.12</v>
      </c>
      <c r="I180" s="129">
        <f t="shared" si="24"/>
        <v>768.979999999999</v>
      </c>
      <c r="J180" s="129">
        <f t="shared" si="24"/>
        <v>198.4</v>
      </c>
      <c r="K180" s="129">
        <f t="shared" si="24"/>
        <v>10.55</v>
      </c>
      <c r="L180" s="129">
        <f>L179++L168</f>
        <v>649.81</v>
      </c>
      <c r="M180" s="129">
        <f>M179+M168</f>
        <v>1.12</v>
      </c>
      <c r="N180" s="129">
        <f>N179+N168</f>
        <v>57.315</v>
      </c>
      <c r="O180" s="143">
        <f>O179+O168</f>
        <v>358.17</v>
      </c>
      <c r="P180" s="69"/>
    </row>
    <row r="181" s="2" customFormat="1" spans="1:16">
      <c r="A181" s="135" t="s">
        <v>104</v>
      </c>
      <c r="B181" s="135"/>
      <c r="C181" s="135"/>
      <c r="D181" s="135"/>
      <c r="E181" s="135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57"/>
    </row>
    <row r="182" s="2" customFormat="1" spans="1:16">
      <c r="A182" s="136" t="s">
        <v>105</v>
      </c>
      <c r="B182" s="121"/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42"/>
      <c r="P182" s="178" t="s">
        <v>104</v>
      </c>
    </row>
    <row r="183" s="2" customFormat="1" ht="27" spans="1:16">
      <c r="A183" s="117" t="s">
        <v>74</v>
      </c>
      <c r="B183" s="50">
        <v>2017</v>
      </c>
      <c r="C183" s="50">
        <v>183</v>
      </c>
      <c r="D183" s="51">
        <v>210</v>
      </c>
      <c r="E183" s="97">
        <v>7.21</v>
      </c>
      <c r="F183" s="97">
        <v>11.58</v>
      </c>
      <c r="G183" s="97">
        <v>7.86</v>
      </c>
      <c r="H183" s="97">
        <v>203</v>
      </c>
      <c r="I183" s="97">
        <f>92.24*210/100</f>
        <v>193.704</v>
      </c>
      <c r="J183" s="97">
        <v>43.1</v>
      </c>
      <c r="K183" s="97">
        <v>1.32</v>
      </c>
      <c r="L183" s="97">
        <v>147.7</v>
      </c>
      <c r="M183" s="97">
        <v>0.15</v>
      </c>
      <c r="N183" s="97">
        <v>0</v>
      </c>
      <c r="O183" s="104">
        <f>20*1.14</f>
        <v>22.8</v>
      </c>
      <c r="P183" s="179"/>
    </row>
    <row r="184" spans="1:16">
      <c r="A184" s="49" t="s">
        <v>26</v>
      </c>
      <c r="B184" s="51" t="s">
        <v>27</v>
      </c>
      <c r="C184" s="51" t="s">
        <v>27</v>
      </c>
      <c r="D184" s="118">
        <v>60</v>
      </c>
      <c r="E184" s="97">
        <v>4.74</v>
      </c>
      <c r="F184" s="97">
        <v>0.6</v>
      </c>
      <c r="G184" s="97">
        <v>28.98</v>
      </c>
      <c r="H184" s="97">
        <v>140.28</v>
      </c>
      <c r="I184" s="97">
        <v>13.8</v>
      </c>
      <c r="J184" s="97">
        <v>19.8</v>
      </c>
      <c r="K184" s="97">
        <v>0.66</v>
      </c>
      <c r="L184" s="97">
        <v>52.2</v>
      </c>
      <c r="M184" s="97">
        <v>0.1</v>
      </c>
      <c r="N184" s="97">
        <v>0</v>
      </c>
      <c r="O184" s="104">
        <v>0</v>
      </c>
      <c r="P184" s="66"/>
    </row>
    <row r="185" spans="1:16">
      <c r="A185" s="161" t="s">
        <v>75</v>
      </c>
      <c r="B185" s="97">
        <v>2017</v>
      </c>
      <c r="C185" s="97">
        <v>382</v>
      </c>
      <c r="D185" s="118">
        <v>200</v>
      </c>
      <c r="E185" s="97">
        <v>3.52</v>
      </c>
      <c r="F185" s="97">
        <v>3.72</v>
      </c>
      <c r="G185" s="97">
        <v>25.49</v>
      </c>
      <c r="H185" s="97">
        <v>145.2</v>
      </c>
      <c r="I185" s="97">
        <v>122</v>
      </c>
      <c r="J185" s="97">
        <v>14</v>
      </c>
      <c r="K185" s="97">
        <v>0.56</v>
      </c>
      <c r="L185" s="97">
        <v>39</v>
      </c>
      <c r="M185" s="97">
        <v>0.04</v>
      </c>
      <c r="N185" s="97">
        <v>1.3</v>
      </c>
      <c r="O185" s="104">
        <f>0.01*1.14</f>
        <v>0.0114</v>
      </c>
      <c r="P185" s="66"/>
    </row>
    <row r="186" spans="1:16">
      <c r="A186" s="119" t="s">
        <v>29</v>
      </c>
      <c r="B186" s="96" t="s">
        <v>27</v>
      </c>
      <c r="C186" s="96" t="s">
        <v>27</v>
      </c>
      <c r="D186" s="96">
        <v>30</v>
      </c>
      <c r="E186" s="51">
        <f>0.1*30/20</f>
        <v>0.15</v>
      </c>
      <c r="F186" s="51">
        <v>0</v>
      </c>
      <c r="G186" s="51">
        <v>17.48</v>
      </c>
      <c r="H186" s="51">
        <f>57.68*30/20</f>
        <v>86.52</v>
      </c>
      <c r="I186" s="51">
        <f>2.4*30/20</f>
        <v>3.6</v>
      </c>
      <c r="J186" s="51">
        <f>1.8*30/20</f>
        <v>2.7</v>
      </c>
      <c r="K186" s="51">
        <f>0.08*30/20</f>
        <v>0.12</v>
      </c>
      <c r="L186" s="51">
        <f>3.6*30/20</f>
        <v>5.4</v>
      </c>
      <c r="M186" s="51">
        <v>0</v>
      </c>
      <c r="N186" s="51">
        <f>0.48*30/20</f>
        <v>0.72</v>
      </c>
      <c r="O186" s="148">
        <v>0</v>
      </c>
      <c r="P186" s="66"/>
    </row>
    <row r="187" spans="1:16">
      <c r="A187" s="122" t="s">
        <v>30</v>
      </c>
      <c r="B187" s="50"/>
      <c r="C187" s="50"/>
      <c r="D187" s="118">
        <f t="shared" ref="D187:H187" si="25">SUM(D183:D186)</f>
        <v>500</v>
      </c>
      <c r="E187" s="138">
        <f t="shared" si="25"/>
        <v>15.62</v>
      </c>
      <c r="F187" s="97">
        <f t="shared" si="25"/>
        <v>15.9</v>
      </c>
      <c r="G187" s="97">
        <f t="shared" si="25"/>
        <v>79.81</v>
      </c>
      <c r="H187" s="97">
        <f t="shared" si="25"/>
        <v>575</v>
      </c>
      <c r="I187" s="97">
        <f t="shared" ref="I187:O187" si="26">SUM(I183:I186)</f>
        <v>333.104</v>
      </c>
      <c r="J187" s="97">
        <f t="shared" si="26"/>
        <v>79.6</v>
      </c>
      <c r="K187" s="97">
        <f t="shared" si="26"/>
        <v>2.66</v>
      </c>
      <c r="L187" s="97">
        <f t="shared" si="26"/>
        <v>244.3</v>
      </c>
      <c r="M187" s="97">
        <f t="shared" si="26"/>
        <v>0.29</v>
      </c>
      <c r="N187" s="97">
        <f t="shared" si="26"/>
        <v>2.02</v>
      </c>
      <c r="O187" s="104">
        <f t="shared" si="26"/>
        <v>22.8114</v>
      </c>
      <c r="P187" s="66"/>
    </row>
    <row r="188" spans="1:16">
      <c r="A188" s="121" t="s">
        <v>31</v>
      </c>
      <c r="B188" s="121"/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42"/>
      <c r="P188" s="66"/>
    </row>
    <row r="189" spans="1:16">
      <c r="A189" s="49" t="s">
        <v>95</v>
      </c>
      <c r="B189" s="51">
        <v>2017</v>
      </c>
      <c r="C189" s="51">
        <v>97</v>
      </c>
      <c r="D189" s="51">
        <v>200</v>
      </c>
      <c r="E189" s="126">
        <v>1.87</v>
      </c>
      <c r="F189" s="126">
        <v>2.26</v>
      </c>
      <c r="G189" s="126">
        <v>13.31</v>
      </c>
      <c r="H189" s="126">
        <v>81</v>
      </c>
      <c r="I189" s="126">
        <v>20.68</v>
      </c>
      <c r="J189" s="126">
        <v>14.9</v>
      </c>
      <c r="K189" s="145">
        <v>0.94</v>
      </c>
      <c r="L189" s="51">
        <v>61.44</v>
      </c>
      <c r="M189" s="126">
        <v>0.11</v>
      </c>
      <c r="N189" s="126">
        <v>1.6</v>
      </c>
      <c r="O189" s="126">
        <v>0</v>
      </c>
      <c r="P189" s="66"/>
    </row>
    <row r="190" spans="1:16">
      <c r="A190" s="123" t="s">
        <v>33</v>
      </c>
      <c r="B190" s="50">
        <v>2017</v>
      </c>
      <c r="C190" s="50">
        <v>228</v>
      </c>
      <c r="D190" s="96">
        <v>10</v>
      </c>
      <c r="E190" s="97">
        <v>2.11</v>
      </c>
      <c r="F190" s="97">
        <v>1.36</v>
      </c>
      <c r="G190" s="97">
        <v>0</v>
      </c>
      <c r="H190" s="97">
        <v>20.67</v>
      </c>
      <c r="I190" s="97">
        <v>3.9</v>
      </c>
      <c r="J190" s="97">
        <v>2</v>
      </c>
      <c r="K190" s="97">
        <v>0.18</v>
      </c>
      <c r="L190" s="97">
        <v>14.3</v>
      </c>
      <c r="M190" s="97">
        <v>0.04</v>
      </c>
      <c r="N190" s="97">
        <v>0</v>
      </c>
      <c r="O190" s="104">
        <v>2.28</v>
      </c>
      <c r="P190" s="66"/>
    </row>
    <row r="191" spans="1:16">
      <c r="A191" s="123" t="s">
        <v>106</v>
      </c>
      <c r="B191" s="50">
        <v>2011</v>
      </c>
      <c r="C191" s="50">
        <v>81</v>
      </c>
      <c r="D191" s="96">
        <v>210</v>
      </c>
      <c r="E191" s="97">
        <v>1.3</v>
      </c>
      <c r="F191" s="97">
        <v>3.9</v>
      </c>
      <c r="G191" s="97">
        <v>6.85</v>
      </c>
      <c r="H191" s="97">
        <v>83</v>
      </c>
      <c r="I191" s="150">
        <v>71.61</v>
      </c>
      <c r="J191" s="150">
        <v>18.13</v>
      </c>
      <c r="K191" s="150">
        <v>1.12</v>
      </c>
      <c r="L191" s="150">
        <v>22.71</v>
      </c>
      <c r="M191" s="170">
        <v>0.084</v>
      </c>
      <c r="N191" s="170">
        <v>9.954</v>
      </c>
      <c r="O191" s="151">
        <v>8.4</v>
      </c>
      <c r="P191" s="66"/>
    </row>
    <row r="192" ht="15.6" customHeight="1" spans="1:16">
      <c r="A192" s="117" t="s">
        <v>49</v>
      </c>
      <c r="B192" s="50">
        <v>2017</v>
      </c>
      <c r="C192" s="133" t="s">
        <v>50</v>
      </c>
      <c r="D192" s="51">
        <v>90</v>
      </c>
      <c r="E192" s="97">
        <v>11.99</v>
      </c>
      <c r="F192" s="97">
        <v>12.05</v>
      </c>
      <c r="G192" s="97">
        <v>8.67</v>
      </c>
      <c r="H192" s="97">
        <v>188.9</v>
      </c>
      <c r="I192" s="97">
        <v>187.3</v>
      </c>
      <c r="J192" s="97">
        <v>21.1</v>
      </c>
      <c r="K192" s="97">
        <v>0.59</v>
      </c>
      <c r="L192" s="97">
        <v>77.7</v>
      </c>
      <c r="M192" s="97">
        <v>0.06</v>
      </c>
      <c r="N192" s="97">
        <v>0.82</v>
      </c>
      <c r="O192" s="104">
        <v>296.15</v>
      </c>
      <c r="P192" s="66"/>
    </row>
    <row r="193" spans="1:16">
      <c r="A193" s="49" t="s">
        <v>51</v>
      </c>
      <c r="B193" s="51">
        <v>2017</v>
      </c>
      <c r="C193" s="51">
        <v>304</v>
      </c>
      <c r="D193" s="51">
        <v>150</v>
      </c>
      <c r="E193" s="97">
        <v>3.67</v>
      </c>
      <c r="F193" s="97">
        <v>5.42</v>
      </c>
      <c r="G193" s="97">
        <v>36.67</v>
      </c>
      <c r="H193" s="97">
        <v>210.11</v>
      </c>
      <c r="I193" s="97">
        <v>19.77</v>
      </c>
      <c r="J193" s="97">
        <v>13.11</v>
      </c>
      <c r="K193" s="97">
        <v>0</v>
      </c>
      <c r="L193" s="97">
        <v>17.6</v>
      </c>
      <c r="M193" s="97">
        <v>0.05</v>
      </c>
      <c r="N193" s="97">
        <v>0</v>
      </c>
      <c r="O193" s="104">
        <v>0.1539</v>
      </c>
      <c r="P193" s="66"/>
    </row>
    <row r="194" spans="1:16">
      <c r="A194" s="49" t="s">
        <v>79</v>
      </c>
      <c r="B194" s="51">
        <v>2017</v>
      </c>
      <c r="C194" s="51">
        <v>47</v>
      </c>
      <c r="D194" s="51">
        <v>60</v>
      </c>
      <c r="E194" s="51">
        <v>1.03</v>
      </c>
      <c r="F194" s="51">
        <v>3.01</v>
      </c>
      <c r="G194" s="51">
        <v>5.1</v>
      </c>
      <c r="H194" s="51">
        <v>51.62</v>
      </c>
      <c r="I194" s="51">
        <v>31.47</v>
      </c>
      <c r="J194" s="51">
        <v>7.64</v>
      </c>
      <c r="K194" s="51">
        <v>0.4</v>
      </c>
      <c r="L194" s="51">
        <v>20.45</v>
      </c>
      <c r="M194" s="51">
        <v>0.01</v>
      </c>
      <c r="N194" s="51">
        <v>11.93</v>
      </c>
      <c r="O194" s="51">
        <v>0</v>
      </c>
      <c r="P194" s="66"/>
    </row>
    <row r="195" spans="1:16">
      <c r="A195" s="123" t="s">
        <v>53</v>
      </c>
      <c r="B195" s="50">
        <v>2017</v>
      </c>
      <c r="C195" s="50">
        <v>377</v>
      </c>
      <c r="D195" s="51">
        <v>200</v>
      </c>
      <c r="E195" s="51">
        <v>0.13</v>
      </c>
      <c r="F195" s="51">
        <v>0.02</v>
      </c>
      <c r="G195" s="51">
        <v>10.25</v>
      </c>
      <c r="H195" s="51">
        <v>41.68</v>
      </c>
      <c r="I195" s="51">
        <v>14.05</v>
      </c>
      <c r="J195" s="51">
        <v>2.4</v>
      </c>
      <c r="K195" s="51">
        <v>0.38</v>
      </c>
      <c r="L195" s="51">
        <v>4.4</v>
      </c>
      <c r="M195" s="51">
        <v>0</v>
      </c>
      <c r="N195" s="51">
        <v>2.83</v>
      </c>
      <c r="O195" s="148">
        <v>0</v>
      </c>
      <c r="P195" s="66"/>
    </row>
    <row r="196" spans="1:16">
      <c r="A196" s="122" t="s">
        <v>38</v>
      </c>
      <c r="B196" s="50" t="s">
        <v>27</v>
      </c>
      <c r="C196" s="50" t="s">
        <v>27</v>
      </c>
      <c r="D196" s="96">
        <v>20</v>
      </c>
      <c r="E196" s="97">
        <v>1.58</v>
      </c>
      <c r="F196" s="97">
        <v>0.2</v>
      </c>
      <c r="G196" s="97">
        <v>9.66</v>
      </c>
      <c r="H196" s="97">
        <v>46.76</v>
      </c>
      <c r="I196" s="97">
        <v>4.6</v>
      </c>
      <c r="J196" s="97">
        <v>6.6</v>
      </c>
      <c r="K196" s="97">
        <v>0.22</v>
      </c>
      <c r="L196" s="97">
        <v>17.4</v>
      </c>
      <c r="M196" s="97">
        <v>0.08</v>
      </c>
      <c r="N196" s="97">
        <v>0</v>
      </c>
      <c r="O196" s="104">
        <v>0</v>
      </c>
      <c r="P196" s="66"/>
    </row>
    <row r="197" spans="1:16">
      <c r="A197" s="122" t="s">
        <v>39</v>
      </c>
      <c r="B197" s="50" t="s">
        <v>27</v>
      </c>
      <c r="C197" s="50" t="s">
        <v>27</v>
      </c>
      <c r="D197" s="50">
        <v>40</v>
      </c>
      <c r="E197" s="97">
        <v>2.24</v>
      </c>
      <c r="F197" s="97">
        <v>0.44</v>
      </c>
      <c r="G197" s="97">
        <v>19.76</v>
      </c>
      <c r="H197" s="97">
        <v>91.96</v>
      </c>
      <c r="I197" s="97">
        <v>9.2</v>
      </c>
      <c r="J197" s="97">
        <v>10</v>
      </c>
      <c r="K197" s="97">
        <v>1.24</v>
      </c>
      <c r="L197" s="97">
        <v>42.4</v>
      </c>
      <c r="M197" s="97">
        <v>0.04</v>
      </c>
      <c r="N197" s="97">
        <v>0</v>
      </c>
      <c r="O197" s="104">
        <v>0</v>
      </c>
      <c r="P197" s="66"/>
    </row>
    <row r="198" spans="1:16">
      <c r="A198" s="155" t="s">
        <v>30</v>
      </c>
      <c r="B198" s="156"/>
      <c r="C198" s="156"/>
      <c r="D198" s="97">
        <f t="shared" ref="D198" si="27">SUM(D189:D197)</f>
        <v>980</v>
      </c>
      <c r="E198" s="97">
        <f t="shared" ref="E198:O198" si="28">SUM(E189:E197)</f>
        <v>25.92</v>
      </c>
      <c r="F198" s="97">
        <f t="shared" si="28"/>
        <v>28.66</v>
      </c>
      <c r="G198" s="97">
        <f t="shared" si="28"/>
        <v>110.27</v>
      </c>
      <c r="H198" s="97">
        <f t="shared" si="28"/>
        <v>815.7</v>
      </c>
      <c r="I198" s="97">
        <f t="shared" si="28"/>
        <v>362.58</v>
      </c>
      <c r="J198" s="97">
        <f t="shared" si="28"/>
        <v>95.88</v>
      </c>
      <c r="K198" s="97">
        <f t="shared" si="28"/>
        <v>5.07</v>
      </c>
      <c r="L198" s="97">
        <f t="shared" si="28"/>
        <v>278.4</v>
      </c>
      <c r="M198" s="97">
        <f t="shared" si="28"/>
        <v>0.474</v>
      </c>
      <c r="N198" s="97">
        <f t="shared" si="28"/>
        <v>27.134</v>
      </c>
      <c r="O198" s="97">
        <f t="shared" si="28"/>
        <v>306.9839</v>
      </c>
      <c r="P198" s="66"/>
    </row>
    <row r="199" s="2" customFormat="1" spans="1:16">
      <c r="A199" s="127" t="s">
        <v>41</v>
      </c>
      <c r="B199" s="128"/>
      <c r="C199" s="128"/>
      <c r="D199" s="129">
        <f t="shared" ref="D199" si="29">D198+D187</f>
        <v>1480</v>
      </c>
      <c r="E199" s="129">
        <f t="shared" ref="E199:O199" si="30">E198+E187</f>
        <v>41.54</v>
      </c>
      <c r="F199" s="129">
        <f t="shared" si="30"/>
        <v>44.56</v>
      </c>
      <c r="G199" s="129">
        <f t="shared" si="30"/>
        <v>190.08</v>
      </c>
      <c r="H199" s="129">
        <f t="shared" si="30"/>
        <v>1390.7</v>
      </c>
      <c r="I199" s="129">
        <f t="shared" si="30"/>
        <v>695.684</v>
      </c>
      <c r="J199" s="129">
        <f t="shared" si="30"/>
        <v>175.48</v>
      </c>
      <c r="K199" s="129">
        <f t="shared" si="30"/>
        <v>7.73</v>
      </c>
      <c r="L199" s="129">
        <f t="shared" si="30"/>
        <v>522.7</v>
      </c>
      <c r="M199" s="129">
        <f t="shared" si="30"/>
        <v>0.764</v>
      </c>
      <c r="N199" s="129">
        <f t="shared" si="30"/>
        <v>29.154</v>
      </c>
      <c r="O199" s="129">
        <f t="shared" si="30"/>
        <v>329.7953</v>
      </c>
      <c r="P199" s="69"/>
    </row>
    <row r="200" s="2" customFormat="1" spans="1:16">
      <c r="A200" s="180" t="s">
        <v>80</v>
      </c>
      <c r="B200" s="134"/>
      <c r="C200" s="129" t="s">
        <v>107</v>
      </c>
      <c r="D200" s="129">
        <f t="shared" ref="D200:O200" si="31">(D199+D180+D160+D141+D123)/5</f>
        <v>1487</v>
      </c>
      <c r="E200" s="129">
        <f t="shared" si="31"/>
        <v>44.2851773913044</v>
      </c>
      <c r="F200" s="129">
        <f t="shared" si="31"/>
        <v>46.542</v>
      </c>
      <c r="G200" s="129">
        <f t="shared" si="31"/>
        <v>196.29468</v>
      </c>
      <c r="H200" s="129">
        <f t="shared" si="31"/>
        <v>1396.0246</v>
      </c>
      <c r="I200" s="129">
        <f t="shared" si="31"/>
        <v>606.3112</v>
      </c>
      <c r="J200" s="129">
        <f t="shared" si="31"/>
        <v>181.194</v>
      </c>
      <c r="K200" s="129">
        <f t="shared" si="31"/>
        <v>8.93252173913044</v>
      </c>
      <c r="L200" s="129">
        <f t="shared" si="31"/>
        <v>604.210365217391</v>
      </c>
      <c r="M200" s="129">
        <f t="shared" si="31"/>
        <v>0.917686956521739</v>
      </c>
      <c r="N200" s="129">
        <f t="shared" si="31"/>
        <v>43.0016434782609</v>
      </c>
      <c r="O200" s="129">
        <f t="shared" si="31"/>
        <v>322.04634952381</v>
      </c>
      <c r="P200" s="57"/>
    </row>
    <row r="201" s="2" customFormat="1" spans="1:16">
      <c r="A201" s="181" t="s">
        <v>108</v>
      </c>
      <c r="B201" s="129"/>
      <c r="C201" s="129"/>
      <c r="D201" s="129">
        <f t="shared" ref="D201:O201" si="32">(D200+D105)/2</f>
        <v>1495</v>
      </c>
      <c r="E201" s="129">
        <f t="shared" si="32"/>
        <v>44.84804647343</v>
      </c>
      <c r="F201" s="129">
        <f t="shared" si="32"/>
        <v>46.2764777777778</v>
      </c>
      <c r="G201" s="129">
        <f t="shared" si="32"/>
        <v>195.979057777778</v>
      </c>
      <c r="H201" s="129">
        <f t="shared" si="32"/>
        <v>1384.28552222222</v>
      </c>
      <c r="I201" s="129">
        <f t="shared" si="32"/>
        <v>591.235333333333</v>
      </c>
      <c r="J201" s="129">
        <f t="shared" si="32"/>
        <v>176.685744444444</v>
      </c>
      <c r="K201" s="129">
        <f t="shared" si="32"/>
        <v>9.17959420289855</v>
      </c>
      <c r="L201" s="129">
        <f t="shared" si="32"/>
        <v>621.96342705314</v>
      </c>
      <c r="M201" s="129">
        <f t="shared" si="32"/>
        <v>0.87724347826087</v>
      </c>
      <c r="N201" s="129">
        <f t="shared" si="32"/>
        <v>42.3920217391304</v>
      </c>
      <c r="O201" s="129">
        <f t="shared" si="32"/>
        <v>349.157684761905</v>
      </c>
      <c r="P201" s="57"/>
    </row>
    <row r="202" ht="13.95" customHeight="1" spans="1:16">
      <c r="A202" s="106" t="s">
        <v>109</v>
      </c>
      <c r="B202" s="106"/>
      <c r="C202" s="106"/>
      <c r="D202" s="106"/>
      <c r="E202" s="106"/>
      <c r="F202" s="106"/>
      <c r="G202" s="106"/>
      <c r="H202" s="106"/>
      <c r="I202" s="106"/>
      <c r="J202" s="106"/>
      <c r="K202" s="106"/>
      <c r="L202" s="106"/>
      <c r="M202" s="106"/>
      <c r="N202" s="106"/>
      <c r="O202" s="106"/>
      <c r="P202" s="106"/>
    </row>
  </sheetData>
  <mergeCells count="57">
    <mergeCell ref="A1:C1"/>
    <mergeCell ref="I1:P1"/>
    <mergeCell ref="A2:C2"/>
    <mergeCell ref="I2:P2"/>
    <mergeCell ref="A3:C3"/>
    <mergeCell ref="I3:P3"/>
    <mergeCell ref="A4:C4"/>
    <mergeCell ref="I4:P4"/>
    <mergeCell ref="E8:H8"/>
    <mergeCell ref="I8:L8"/>
    <mergeCell ref="M8:O8"/>
    <mergeCell ref="A10:O10"/>
    <mergeCell ref="A11:O11"/>
    <mergeCell ref="A18:O18"/>
    <mergeCell ref="A30:O30"/>
    <mergeCell ref="A31:O31"/>
    <mergeCell ref="A37:O37"/>
    <mergeCell ref="A49:O49"/>
    <mergeCell ref="A50:O50"/>
    <mergeCell ref="A56:O56"/>
    <mergeCell ref="A67:O67"/>
    <mergeCell ref="A68:O68"/>
    <mergeCell ref="A74:O74"/>
    <mergeCell ref="A86:O86"/>
    <mergeCell ref="A87:O87"/>
    <mergeCell ref="A93:O93"/>
    <mergeCell ref="A106:O106"/>
    <mergeCell ref="A107:O107"/>
    <mergeCell ref="A113:O113"/>
    <mergeCell ref="A124:O124"/>
    <mergeCell ref="A125:O125"/>
    <mergeCell ref="A131:O131"/>
    <mergeCell ref="A142:O142"/>
    <mergeCell ref="A143:O143"/>
    <mergeCell ref="A149:O149"/>
    <mergeCell ref="A161:O161"/>
    <mergeCell ref="A162:O162"/>
    <mergeCell ref="A169:O169"/>
    <mergeCell ref="A181:O181"/>
    <mergeCell ref="A182:O182"/>
    <mergeCell ref="A188:O188"/>
    <mergeCell ref="A202:P202"/>
    <mergeCell ref="A8:A9"/>
    <mergeCell ref="B8:B9"/>
    <mergeCell ref="C8:C9"/>
    <mergeCell ref="D8:D9"/>
    <mergeCell ref="P12:P29"/>
    <mergeCell ref="P32:P48"/>
    <mergeCell ref="P50:P66"/>
    <mergeCell ref="P69:P85"/>
    <mergeCell ref="P87:P104"/>
    <mergeCell ref="P108:P123"/>
    <mergeCell ref="P125:P141"/>
    <mergeCell ref="P143:P160"/>
    <mergeCell ref="P162:P180"/>
    <mergeCell ref="P182:P199"/>
    <mergeCell ref="A6:P7"/>
  </mergeCells>
  <pageMargins left="0.511811023622047" right="0.31496062992126" top="0.511811023622047" bottom="0.433070866141732" header="0.31496062992126" footer="0.31496062992126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40"/>
  <sheetViews>
    <sheetView view="pageBreakPreview" zoomScale="90" zoomScaleNormal="100" workbookViewId="0">
      <selection activeCell="I10" sqref="I10:L10"/>
    </sheetView>
  </sheetViews>
  <sheetFormatPr defaultColWidth="9" defaultRowHeight="15"/>
  <cols>
    <col min="1" max="1" width="47.1047619047619" style="5" customWidth="1"/>
    <col min="2" max="2" width="13.4380952380952" style="6" customWidth="1"/>
    <col min="3" max="3" width="10.552380952381" style="6" customWidth="1"/>
    <col min="4" max="4" width="8.1047619047619" style="6" customWidth="1"/>
    <col min="5" max="6" width="7.66666666666667" style="6" customWidth="1"/>
    <col min="7" max="7" width="8" style="6" customWidth="1"/>
    <col min="8" max="8" width="8.88571428571429" style="6"/>
    <col min="9" max="9" width="8.1047619047619" style="6" customWidth="1"/>
    <col min="10" max="10" width="8.88571428571429" style="6"/>
    <col min="11" max="11" width="7.43809523809524" style="6" customWidth="1"/>
    <col min="12" max="12" width="8.1047619047619" style="6" customWidth="1"/>
    <col min="13" max="14" width="7.55238095238095" style="6" customWidth="1"/>
    <col min="15" max="15" width="7.88571428571429" style="6" customWidth="1"/>
    <col min="16" max="16" width="3.33333333333333" style="2" customWidth="1"/>
  </cols>
  <sheetData>
    <row r="1" spans="1:16">
      <c r="A1" s="7" t="s">
        <v>0</v>
      </c>
      <c r="B1" s="7"/>
      <c r="C1" s="7"/>
      <c r="D1" s="8"/>
      <c r="E1" s="8"/>
      <c r="F1" s="8"/>
      <c r="G1" s="8"/>
      <c r="H1" s="8"/>
      <c r="I1" s="54" t="s">
        <v>1</v>
      </c>
      <c r="J1" s="54"/>
      <c r="K1" s="54"/>
      <c r="L1" s="54"/>
      <c r="M1" s="54"/>
      <c r="N1" s="54"/>
      <c r="O1" s="54"/>
      <c r="P1" s="54"/>
    </row>
    <row r="2" ht="14.4" customHeight="1" spans="1:16">
      <c r="A2" s="9"/>
      <c r="B2" s="9"/>
      <c r="C2" s="9"/>
      <c r="D2" s="8"/>
      <c r="E2" s="8"/>
      <c r="F2" s="8"/>
      <c r="G2" s="8"/>
      <c r="H2" s="8"/>
      <c r="I2" s="55" t="s">
        <v>2</v>
      </c>
      <c r="J2" s="55"/>
      <c r="K2" s="55"/>
      <c r="L2" s="55"/>
      <c r="M2" s="55"/>
      <c r="N2" s="55"/>
      <c r="O2" s="55"/>
      <c r="P2" s="55"/>
    </row>
    <row r="3" ht="15.6" customHeight="1" spans="1:16">
      <c r="A3" s="10"/>
      <c r="B3" s="10"/>
      <c r="C3" s="10"/>
      <c r="D3" s="8"/>
      <c r="E3" s="8"/>
      <c r="F3" s="8"/>
      <c r="G3" s="8"/>
      <c r="H3" s="8"/>
      <c r="I3" s="55" t="s">
        <v>2</v>
      </c>
      <c r="J3" s="55"/>
      <c r="K3" s="55"/>
      <c r="L3" s="55"/>
      <c r="M3" s="55"/>
      <c r="N3" s="55"/>
      <c r="O3" s="55"/>
      <c r="P3" s="55"/>
    </row>
    <row r="4" ht="14.4" customHeight="1" spans="1:16">
      <c r="A4" s="10"/>
      <c r="B4" s="10"/>
      <c r="C4" s="10"/>
      <c r="D4" s="8"/>
      <c r="E4" s="8"/>
      <c r="F4" s="8"/>
      <c r="G4" s="8"/>
      <c r="H4" s="8"/>
      <c r="I4" s="55" t="s">
        <v>2</v>
      </c>
      <c r="J4" s="55"/>
      <c r="K4" s="55"/>
      <c r="L4" s="55"/>
      <c r="M4" s="55"/>
      <c r="N4" s="55"/>
      <c r="O4" s="55"/>
      <c r="P4" s="55"/>
    </row>
    <row r="5" ht="10.2" customHeight="1" spans="1:16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56"/>
    </row>
    <row r="6" s="1" customFormat="1" ht="22.2" customHeight="1" spans="1:16">
      <c r="A6" s="13" t="s">
        <v>110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="1" customFormat="1" ht="15.6" customHeight="1" spans="1:16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ht="0.6" customHeight="1" spans="1:16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ht="7.95" customHeight="1" spans="1:16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ht="15.6" customHeight="1" spans="1:16">
      <c r="A10" s="15" t="s">
        <v>4</v>
      </c>
      <c r="B10" s="16" t="s">
        <v>5</v>
      </c>
      <c r="C10" s="16" t="s">
        <v>6</v>
      </c>
      <c r="D10" s="16" t="s">
        <v>7</v>
      </c>
      <c r="E10" s="15" t="s">
        <v>8</v>
      </c>
      <c r="F10" s="15"/>
      <c r="G10" s="15"/>
      <c r="H10" s="15"/>
      <c r="I10" s="15" t="s">
        <v>9</v>
      </c>
      <c r="J10" s="15"/>
      <c r="K10" s="15"/>
      <c r="L10" s="15"/>
      <c r="M10" s="15" t="s">
        <v>10</v>
      </c>
      <c r="N10" s="15"/>
      <c r="O10" s="15"/>
      <c r="P10" s="57"/>
    </row>
    <row r="11" ht="70.95" customHeight="1" spans="1:16">
      <c r="A11" s="15"/>
      <c r="B11" s="16"/>
      <c r="C11" s="16"/>
      <c r="D11" s="16"/>
      <c r="E11" s="15" t="s">
        <v>11</v>
      </c>
      <c r="F11" s="15" t="s">
        <v>12</v>
      </c>
      <c r="G11" s="15" t="s">
        <v>13</v>
      </c>
      <c r="H11" s="15" t="s">
        <v>14</v>
      </c>
      <c r="I11" s="15" t="s">
        <v>15</v>
      </c>
      <c r="J11" s="15" t="s">
        <v>16</v>
      </c>
      <c r="K11" s="15" t="s">
        <v>17</v>
      </c>
      <c r="L11" s="15" t="s">
        <v>18</v>
      </c>
      <c r="M11" s="15" t="s">
        <v>19</v>
      </c>
      <c r="N11" s="15" t="s">
        <v>20</v>
      </c>
      <c r="O11" s="15" t="s">
        <v>21</v>
      </c>
      <c r="P11" s="57"/>
    </row>
    <row r="12" s="2" customFormat="1" ht="13.95" customHeight="1" spans="1:18">
      <c r="A12" s="17" t="s">
        <v>22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58"/>
      <c r="P12" s="59" t="s">
        <v>22</v>
      </c>
      <c r="Q12" s="72"/>
      <c r="R12" s="72"/>
    </row>
    <row r="13" s="2" customFormat="1" ht="13.95" customHeight="1" spans="1:18">
      <c r="A13" s="17" t="s">
        <v>23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58"/>
      <c r="P13" s="59"/>
      <c r="Q13" s="72"/>
      <c r="R13" s="72"/>
    </row>
    <row r="14" ht="26.4" customHeight="1" spans="1:18">
      <c r="A14" s="19" t="s">
        <v>24</v>
      </c>
      <c r="B14" s="20">
        <v>2017</v>
      </c>
      <c r="C14" s="20">
        <v>173</v>
      </c>
      <c r="D14" s="21">
        <v>260</v>
      </c>
      <c r="E14" s="22">
        <v>10.29</v>
      </c>
      <c r="F14" s="22">
        <v>14.18</v>
      </c>
      <c r="G14" s="22">
        <v>27.39</v>
      </c>
      <c r="H14" s="22">
        <v>271.49</v>
      </c>
      <c r="I14" s="22">
        <v>196.42380952381</v>
      </c>
      <c r="J14" s="22">
        <v>89.2047619047619</v>
      </c>
      <c r="K14" s="22">
        <v>1.74571428571429</v>
      </c>
      <c r="L14" s="22">
        <v>82.172380952381</v>
      </c>
      <c r="M14" s="22">
        <v>0.26</v>
      </c>
      <c r="N14" s="22">
        <v>0.656190476190476</v>
      </c>
      <c r="O14" s="22">
        <v>21.8771428571429</v>
      </c>
      <c r="P14" s="59"/>
      <c r="Q14" s="73"/>
      <c r="R14" s="73"/>
    </row>
    <row r="15" ht="14.4" customHeight="1" spans="1:18">
      <c r="A15" s="23" t="s">
        <v>25</v>
      </c>
      <c r="B15" s="20">
        <v>2017</v>
      </c>
      <c r="C15" s="20">
        <v>15</v>
      </c>
      <c r="D15" s="21">
        <v>15</v>
      </c>
      <c r="E15" s="22">
        <v>3.48</v>
      </c>
      <c r="F15" s="22">
        <v>4.43</v>
      </c>
      <c r="G15" s="22">
        <v>0</v>
      </c>
      <c r="H15" s="22">
        <v>54.6</v>
      </c>
      <c r="I15" s="22">
        <v>132</v>
      </c>
      <c r="J15" s="22">
        <v>5.25</v>
      </c>
      <c r="K15" s="22">
        <v>0.15</v>
      </c>
      <c r="L15" s="22">
        <v>75</v>
      </c>
      <c r="M15" s="22">
        <v>0.01</v>
      </c>
      <c r="N15" s="22">
        <v>0.11</v>
      </c>
      <c r="O15" s="52">
        <v>39</v>
      </c>
      <c r="P15" s="59"/>
      <c r="Q15" s="73"/>
      <c r="R15" s="73"/>
    </row>
    <row r="16" ht="14.4" customHeight="1" spans="1:18">
      <c r="A16" s="23" t="s">
        <v>26</v>
      </c>
      <c r="B16" s="20" t="s">
        <v>27</v>
      </c>
      <c r="C16" s="20" t="s">
        <v>27</v>
      </c>
      <c r="D16" s="21">
        <v>60</v>
      </c>
      <c r="E16" s="22">
        <v>4.74</v>
      </c>
      <c r="F16" s="22">
        <v>0.6</v>
      </c>
      <c r="G16" s="22">
        <v>28.98</v>
      </c>
      <c r="H16" s="22">
        <v>140.28</v>
      </c>
      <c r="I16" s="22">
        <v>13.8</v>
      </c>
      <c r="J16" s="22">
        <v>19.8</v>
      </c>
      <c r="K16" s="22">
        <v>0.66</v>
      </c>
      <c r="L16" s="22">
        <v>52.2</v>
      </c>
      <c r="M16" s="22">
        <v>0.1</v>
      </c>
      <c r="N16" s="22">
        <v>0</v>
      </c>
      <c r="O16" s="52">
        <v>0</v>
      </c>
      <c r="P16" s="59"/>
      <c r="Q16" s="73"/>
      <c r="R16" s="73"/>
    </row>
    <row r="17" ht="14.4" customHeight="1" spans="1:18">
      <c r="A17" s="23" t="s">
        <v>28</v>
      </c>
      <c r="B17" s="24">
        <v>2017</v>
      </c>
      <c r="C17" s="24">
        <v>376</v>
      </c>
      <c r="D17" s="21">
        <v>200</v>
      </c>
      <c r="E17" s="22">
        <v>0.2</v>
      </c>
      <c r="F17" s="22">
        <v>0</v>
      </c>
      <c r="G17" s="22">
        <v>14</v>
      </c>
      <c r="H17" s="22">
        <v>28</v>
      </c>
      <c r="I17" s="22">
        <v>6</v>
      </c>
      <c r="J17" s="22">
        <v>0</v>
      </c>
      <c r="K17" s="22">
        <v>0.4</v>
      </c>
      <c r="L17" s="22">
        <v>0</v>
      </c>
      <c r="M17" s="22">
        <v>0</v>
      </c>
      <c r="N17" s="22">
        <v>0</v>
      </c>
      <c r="O17" s="22">
        <v>0</v>
      </c>
      <c r="P17" s="59"/>
      <c r="Q17" s="73"/>
      <c r="R17" s="73"/>
    </row>
    <row r="18" ht="14.4" customHeight="1" spans="1:18">
      <c r="A18" s="25" t="s">
        <v>29</v>
      </c>
      <c r="B18" s="20" t="s">
        <v>27</v>
      </c>
      <c r="C18" s="20" t="s">
        <v>27</v>
      </c>
      <c r="D18" s="26">
        <v>20</v>
      </c>
      <c r="E18" s="22">
        <v>0.1</v>
      </c>
      <c r="F18" s="22">
        <v>0</v>
      </c>
      <c r="G18" s="22">
        <v>14.32</v>
      </c>
      <c r="H18" s="22">
        <v>57.68</v>
      </c>
      <c r="I18" s="22">
        <v>2.4</v>
      </c>
      <c r="J18" s="22">
        <v>1.8</v>
      </c>
      <c r="K18" s="22">
        <v>0.08</v>
      </c>
      <c r="L18" s="22">
        <v>3.6</v>
      </c>
      <c r="M18" s="22">
        <v>0</v>
      </c>
      <c r="N18" s="22">
        <v>0.48</v>
      </c>
      <c r="O18" s="22">
        <v>0</v>
      </c>
      <c r="P18" s="59"/>
      <c r="Q18" s="73"/>
      <c r="R18" s="73"/>
    </row>
    <row r="19" ht="14.4" customHeight="1" spans="1:18">
      <c r="A19" s="27" t="s">
        <v>30</v>
      </c>
      <c r="B19" s="28"/>
      <c r="C19" s="28"/>
      <c r="D19" s="29">
        <v>555</v>
      </c>
      <c r="E19" s="22">
        <f>SUM(E14:E18)</f>
        <v>18.81</v>
      </c>
      <c r="F19" s="22">
        <f>SUM(F14:F18)</f>
        <v>19.21</v>
      </c>
      <c r="G19" s="22">
        <f>SUM(G14:G18)</f>
        <v>84.69</v>
      </c>
      <c r="H19" s="22">
        <f t="shared" ref="H19:O19" si="0">SUM(H14:H18)</f>
        <v>552.05</v>
      </c>
      <c r="I19" s="22">
        <f t="shared" si="0"/>
        <v>350.623809523809</v>
      </c>
      <c r="J19" s="22">
        <f t="shared" si="0"/>
        <v>116.054761904762</v>
      </c>
      <c r="K19" s="22">
        <f t="shared" si="0"/>
        <v>3.03571428571429</v>
      </c>
      <c r="L19" s="22">
        <f t="shared" si="0"/>
        <v>212.972380952381</v>
      </c>
      <c r="M19" s="22">
        <f t="shared" si="0"/>
        <v>0.37</v>
      </c>
      <c r="N19" s="22">
        <f t="shared" si="0"/>
        <v>1.24619047619048</v>
      </c>
      <c r="O19" s="52">
        <f t="shared" si="0"/>
        <v>60.8771428571429</v>
      </c>
      <c r="P19" s="59"/>
      <c r="Q19" s="73"/>
      <c r="R19" s="73"/>
    </row>
    <row r="20" ht="14.4" customHeight="1" spans="1:18">
      <c r="A20" s="30" t="s">
        <v>31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60"/>
      <c r="P20" s="59"/>
      <c r="Q20" s="73"/>
      <c r="R20" s="73"/>
    </row>
    <row r="21" ht="14.4" customHeight="1" spans="1:18">
      <c r="A21" s="31" t="s">
        <v>84</v>
      </c>
      <c r="B21" s="24">
        <v>2017</v>
      </c>
      <c r="C21" s="24">
        <v>102</v>
      </c>
      <c r="D21" s="20">
        <v>250</v>
      </c>
      <c r="E21" s="22">
        <v>5.49</v>
      </c>
      <c r="F21" s="22">
        <v>5.28</v>
      </c>
      <c r="G21" s="22">
        <v>16.33</v>
      </c>
      <c r="H21" s="22">
        <v>134.75</v>
      </c>
      <c r="I21" s="22">
        <v>38.08</v>
      </c>
      <c r="J21" s="22">
        <v>35.3</v>
      </c>
      <c r="K21" s="22">
        <v>2.03</v>
      </c>
      <c r="L21" s="22">
        <v>87.18</v>
      </c>
      <c r="M21" s="22">
        <v>0.08</v>
      </c>
      <c r="N21" s="22">
        <v>5.81</v>
      </c>
      <c r="O21" s="52">
        <v>0</v>
      </c>
      <c r="P21" s="59"/>
      <c r="Q21" s="73"/>
      <c r="R21" s="73"/>
    </row>
    <row r="22" ht="14.4" customHeight="1" spans="1:18">
      <c r="A22" s="31" t="s">
        <v>33</v>
      </c>
      <c r="B22" s="20">
        <v>2017</v>
      </c>
      <c r="C22" s="24">
        <v>288</v>
      </c>
      <c r="D22" s="20">
        <v>10</v>
      </c>
      <c r="E22" s="22">
        <v>2.11</v>
      </c>
      <c r="F22" s="22">
        <v>1.36</v>
      </c>
      <c r="G22" s="22">
        <v>0</v>
      </c>
      <c r="H22" s="22">
        <v>20.67</v>
      </c>
      <c r="I22" s="22">
        <v>3.9</v>
      </c>
      <c r="J22" s="22">
        <v>2</v>
      </c>
      <c r="K22" s="22">
        <v>0.18</v>
      </c>
      <c r="L22" s="22">
        <v>14.3</v>
      </c>
      <c r="M22" s="22">
        <v>0.04</v>
      </c>
      <c r="N22" s="22">
        <v>0</v>
      </c>
      <c r="O22" s="52">
        <v>2.28</v>
      </c>
      <c r="P22" s="59"/>
      <c r="Q22" s="73"/>
      <c r="R22" s="73"/>
    </row>
    <row r="23" ht="14.4" customHeight="1" spans="1:18">
      <c r="A23" s="31" t="s">
        <v>34</v>
      </c>
      <c r="B23" s="20">
        <v>2004</v>
      </c>
      <c r="C23" s="24">
        <v>130</v>
      </c>
      <c r="D23" s="20">
        <v>260</v>
      </c>
      <c r="E23" s="22">
        <v>4.1</v>
      </c>
      <c r="F23" s="22">
        <v>4.5</v>
      </c>
      <c r="G23" s="22">
        <v>13.6</v>
      </c>
      <c r="H23" s="22">
        <v>104</v>
      </c>
      <c r="I23" s="22">
        <v>26.1980952380952</v>
      </c>
      <c r="J23" s="22">
        <v>25.6533333333333</v>
      </c>
      <c r="K23" s="22">
        <v>0.965714285714286</v>
      </c>
      <c r="L23" s="22">
        <v>71.2647619047619</v>
      </c>
      <c r="M23" s="22">
        <v>0.0990476190476191</v>
      </c>
      <c r="N23" s="22">
        <v>7.46571428571429</v>
      </c>
      <c r="O23" s="52">
        <v>0</v>
      </c>
      <c r="P23" s="59"/>
      <c r="Q23" s="73"/>
      <c r="R23" s="73"/>
    </row>
    <row r="24" ht="14.4" customHeight="1" spans="1:18">
      <c r="A24" s="31" t="s">
        <v>35</v>
      </c>
      <c r="B24" s="24">
        <v>2017</v>
      </c>
      <c r="C24" s="24">
        <v>255</v>
      </c>
      <c r="D24" s="20">
        <v>100</v>
      </c>
      <c r="E24" s="22">
        <v>10.13</v>
      </c>
      <c r="F24" s="22">
        <v>11.23</v>
      </c>
      <c r="G24" s="22">
        <v>3.9</v>
      </c>
      <c r="H24" s="22">
        <v>163.42</v>
      </c>
      <c r="I24" s="22">
        <v>38.24</v>
      </c>
      <c r="J24" s="22">
        <v>17.47</v>
      </c>
      <c r="K24" s="22">
        <v>4.74444444444444</v>
      </c>
      <c r="L24" s="22">
        <v>239.32</v>
      </c>
      <c r="M24" s="22">
        <v>0.2</v>
      </c>
      <c r="N24" s="22">
        <v>4.12</v>
      </c>
      <c r="O24" s="52">
        <v>366.51</v>
      </c>
      <c r="P24" s="59"/>
      <c r="Q24" s="73"/>
      <c r="R24" s="73"/>
    </row>
    <row r="25" ht="14.4" customHeight="1" spans="1:18">
      <c r="A25" s="31" t="s">
        <v>36</v>
      </c>
      <c r="B25" s="32">
        <v>2017</v>
      </c>
      <c r="C25" s="32">
        <v>302</v>
      </c>
      <c r="D25" s="20">
        <v>200</v>
      </c>
      <c r="E25" s="22">
        <v>5.1</v>
      </c>
      <c r="F25" s="22">
        <f>5.17*200/150</f>
        <v>6.89333333333333</v>
      </c>
      <c r="G25" s="22">
        <v>47.76</v>
      </c>
      <c r="H25" s="22">
        <v>261.54</v>
      </c>
      <c r="I25" s="22">
        <v>17.3066666666667</v>
      </c>
      <c r="J25" s="22">
        <v>43.3333333333333</v>
      </c>
      <c r="K25" s="22">
        <v>5.26666666666667</v>
      </c>
      <c r="L25" s="22">
        <v>144.666666666667</v>
      </c>
      <c r="M25" s="22">
        <v>0.133333333333333</v>
      </c>
      <c r="N25" s="22">
        <v>0</v>
      </c>
      <c r="O25" s="52">
        <v>0.0266666666666667</v>
      </c>
      <c r="P25" s="59"/>
      <c r="Q25" s="73"/>
      <c r="R25" s="73"/>
    </row>
    <row r="26" ht="14.4" customHeight="1" spans="1:18">
      <c r="A26" s="19" t="s">
        <v>37</v>
      </c>
      <c r="B26" s="24">
        <v>2017</v>
      </c>
      <c r="C26" s="24">
        <v>71</v>
      </c>
      <c r="D26" s="33">
        <v>60</v>
      </c>
      <c r="E26" s="34">
        <v>2.16</v>
      </c>
      <c r="F26" s="34">
        <v>4.04</v>
      </c>
      <c r="G26" s="34">
        <v>1.01</v>
      </c>
      <c r="H26" s="34">
        <v>48.79</v>
      </c>
      <c r="I26" s="34">
        <v>13.8</v>
      </c>
      <c r="J26" s="34">
        <v>7</v>
      </c>
      <c r="K26" s="34">
        <v>0.42</v>
      </c>
      <c r="L26" s="34">
        <v>12</v>
      </c>
      <c r="M26" s="34">
        <v>0</v>
      </c>
      <c r="N26" s="34">
        <v>14.4</v>
      </c>
      <c r="O26" s="61">
        <v>0</v>
      </c>
      <c r="P26" s="59"/>
      <c r="Q26" s="73"/>
      <c r="R26" s="73"/>
    </row>
    <row r="27" ht="14.4" customHeight="1" spans="1:18">
      <c r="A27" s="19" t="s">
        <v>38</v>
      </c>
      <c r="B27" s="24" t="s">
        <v>27</v>
      </c>
      <c r="C27" s="20" t="s">
        <v>27</v>
      </c>
      <c r="D27" s="35">
        <v>20</v>
      </c>
      <c r="E27" s="22">
        <v>1.58</v>
      </c>
      <c r="F27" s="22">
        <v>0.2</v>
      </c>
      <c r="G27" s="22">
        <v>9.66</v>
      </c>
      <c r="H27" s="22">
        <v>46.76</v>
      </c>
      <c r="I27" s="22">
        <v>4.6</v>
      </c>
      <c r="J27" s="22">
        <v>6.6</v>
      </c>
      <c r="K27" s="22">
        <v>0.22</v>
      </c>
      <c r="L27" s="22">
        <v>17.4</v>
      </c>
      <c r="M27" s="22">
        <v>0.08</v>
      </c>
      <c r="N27" s="22">
        <v>0</v>
      </c>
      <c r="O27" s="52">
        <v>0</v>
      </c>
      <c r="P27" s="59"/>
      <c r="Q27" s="73"/>
      <c r="R27" s="73"/>
    </row>
    <row r="28" ht="14.4" customHeight="1" spans="1:18">
      <c r="A28" s="19" t="s">
        <v>39</v>
      </c>
      <c r="B28" s="24" t="s">
        <v>27</v>
      </c>
      <c r="C28" s="20" t="s">
        <v>27</v>
      </c>
      <c r="D28" s="36">
        <v>40</v>
      </c>
      <c r="E28" s="22">
        <v>2.24</v>
      </c>
      <c r="F28" s="22">
        <v>0.44</v>
      </c>
      <c r="G28" s="22">
        <v>19.76</v>
      </c>
      <c r="H28" s="22">
        <v>91.96</v>
      </c>
      <c r="I28" s="22">
        <v>9.2</v>
      </c>
      <c r="J28" s="22">
        <v>10</v>
      </c>
      <c r="K28" s="22">
        <v>1.24</v>
      </c>
      <c r="L28" s="22">
        <v>42.4</v>
      </c>
      <c r="M28" s="22">
        <v>0.04</v>
      </c>
      <c r="N28" s="22">
        <v>0</v>
      </c>
      <c r="O28" s="52">
        <v>0</v>
      </c>
      <c r="P28" s="59"/>
      <c r="Q28" s="73"/>
      <c r="R28" s="73"/>
    </row>
    <row r="29" ht="14.4" customHeight="1" spans="1:18">
      <c r="A29" s="37" t="s">
        <v>40</v>
      </c>
      <c r="B29" s="32">
        <v>2017</v>
      </c>
      <c r="C29" s="32">
        <v>349</v>
      </c>
      <c r="D29" s="32">
        <v>200</v>
      </c>
      <c r="E29" s="38">
        <v>0.04</v>
      </c>
      <c r="F29" s="38">
        <v>0</v>
      </c>
      <c r="G29" s="38">
        <v>24.76</v>
      </c>
      <c r="H29" s="38">
        <v>94.2</v>
      </c>
      <c r="I29" s="38">
        <v>6.4</v>
      </c>
      <c r="J29" s="38">
        <v>0</v>
      </c>
      <c r="K29" s="38">
        <v>0.18</v>
      </c>
      <c r="L29" s="38">
        <v>3.6</v>
      </c>
      <c r="M29" s="38">
        <v>0.01</v>
      </c>
      <c r="N29" s="38">
        <v>1.08</v>
      </c>
      <c r="O29" s="38">
        <v>0</v>
      </c>
      <c r="P29" s="59"/>
      <c r="Q29" s="73"/>
      <c r="R29" s="73"/>
    </row>
    <row r="30" ht="14.4" customHeight="1" spans="1:18">
      <c r="A30" s="31" t="s">
        <v>30</v>
      </c>
      <c r="B30" s="24"/>
      <c r="C30" s="24"/>
      <c r="D30" s="39">
        <f t="shared" ref="D30:O30" si="1">SUM(D21:D29)</f>
        <v>1140</v>
      </c>
      <c r="E30" s="22">
        <f t="shared" si="1"/>
        <v>32.95</v>
      </c>
      <c r="F30" s="22">
        <f t="shared" si="1"/>
        <v>33.9433333333333</v>
      </c>
      <c r="G30" s="22">
        <f t="shared" si="1"/>
        <v>136.78</v>
      </c>
      <c r="H30" s="22">
        <f t="shared" si="1"/>
        <v>966.09</v>
      </c>
      <c r="I30" s="22">
        <f t="shared" si="1"/>
        <v>157.724761904762</v>
      </c>
      <c r="J30" s="22">
        <f t="shared" si="1"/>
        <v>147.356666666667</v>
      </c>
      <c r="K30" s="22">
        <f t="shared" si="1"/>
        <v>15.2468253968254</v>
      </c>
      <c r="L30" s="22">
        <f t="shared" si="1"/>
        <v>632.131428571429</v>
      </c>
      <c r="M30" s="22">
        <f t="shared" si="1"/>
        <v>0.682380952380952</v>
      </c>
      <c r="N30" s="22">
        <f t="shared" si="1"/>
        <v>32.8757142857143</v>
      </c>
      <c r="O30" s="52">
        <f t="shared" si="1"/>
        <v>368.816666666667</v>
      </c>
      <c r="P30" s="59"/>
      <c r="Q30" s="73"/>
      <c r="R30" s="73"/>
    </row>
    <row r="31" s="2" customFormat="1" ht="14.4" customHeight="1" spans="1:18">
      <c r="A31" s="40" t="s">
        <v>41</v>
      </c>
      <c r="B31" s="41"/>
      <c r="C31" s="41"/>
      <c r="D31" s="42">
        <f>D19+D30</f>
        <v>1695</v>
      </c>
      <c r="E31" s="42">
        <f t="shared" ref="E31:O31" si="2">E30+E19</f>
        <v>51.76</v>
      </c>
      <c r="F31" s="42">
        <f t="shared" si="2"/>
        <v>53.1533333333333</v>
      </c>
      <c r="G31" s="42">
        <f t="shared" si="2"/>
        <v>221.47</v>
      </c>
      <c r="H31" s="42">
        <f t="shared" si="2"/>
        <v>1518.14</v>
      </c>
      <c r="I31" s="42">
        <f t="shared" si="2"/>
        <v>508.348571428571</v>
      </c>
      <c r="J31" s="42">
        <f t="shared" si="2"/>
        <v>263.411428571429</v>
      </c>
      <c r="K31" s="42">
        <f t="shared" si="2"/>
        <v>18.2825396825397</v>
      </c>
      <c r="L31" s="42">
        <f t="shared" si="2"/>
        <v>845.103809523809</v>
      </c>
      <c r="M31" s="42">
        <f t="shared" si="2"/>
        <v>1.05238095238095</v>
      </c>
      <c r="N31" s="42">
        <f t="shared" si="2"/>
        <v>34.1219047619048</v>
      </c>
      <c r="O31" s="62">
        <f t="shared" si="2"/>
        <v>429.693809523809</v>
      </c>
      <c r="P31" s="59"/>
      <c r="Q31" s="72"/>
      <c r="R31" s="72"/>
    </row>
    <row r="32" s="2" customFormat="1" ht="14.4" customHeight="1" spans="1:18">
      <c r="A32" s="43" t="s">
        <v>42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63"/>
      <c r="Q32" s="72"/>
      <c r="R32" s="72"/>
    </row>
    <row r="33" s="2" customFormat="1" ht="14.4" customHeight="1" spans="1:18">
      <c r="A33" s="44" t="s">
        <v>23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64"/>
      <c r="P33" s="63"/>
      <c r="Q33" s="72"/>
      <c r="R33" s="72"/>
    </row>
    <row r="34" ht="14.4" customHeight="1" spans="1:18">
      <c r="A34" s="45" t="s">
        <v>43</v>
      </c>
      <c r="B34" s="24">
        <v>2017</v>
      </c>
      <c r="C34" s="24" t="s">
        <v>44</v>
      </c>
      <c r="D34" s="39">
        <v>230</v>
      </c>
      <c r="E34" s="22">
        <f>12.45*230/200</f>
        <v>14.3175</v>
      </c>
      <c r="F34" s="22">
        <v>10.97</v>
      </c>
      <c r="G34" s="22">
        <v>36.67</v>
      </c>
      <c r="H34" s="22">
        <v>293.5</v>
      </c>
      <c r="I34" s="22">
        <v>304.0715</v>
      </c>
      <c r="J34" s="22">
        <v>44.482</v>
      </c>
      <c r="K34" s="22">
        <v>1.0465</v>
      </c>
      <c r="L34" s="22">
        <v>380.604</v>
      </c>
      <c r="M34" s="22">
        <v>0.069</v>
      </c>
      <c r="N34" s="22">
        <v>0.23</v>
      </c>
      <c r="O34" s="52">
        <v>128.44</v>
      </c>
      <c r="P34" s="65" t="s">
        <v>42</v>
      </c>
      <c r="Q34" s="73"/>
      <c r="R34" s="73"/>
    </row>
    <row r="35" ht="14.4" customHeight="1" spans="1:18">
      <c r="A35" s="27" t="s">
        <v>26</v>
      </c>
      <c r="B35" s="39" t="s">
        <v>27</v>
      </c>
      <c r="C35" s="39" t="s">
        <v>27</v>
      </c>
      <c r="D35" s="29">
        <v>30</v>
      </c>
      <c r="E35" s="22">
        <v>2.37</v>
      </c>
      <c r="F35" s="22">
        <v>0.3</v>
      </c>
      <c r="G35" s="22">
        <v>14.49</v>
      </c>
      <c r="H35" s="22">
        <v>70.14</v>
      </c>
      <c r="I35" s="22">
        <v>6.9</v>
      </c>
      <c r="J35" s="22">
        <v>9.9</v>
      </c>
      <c r="K35" s="22">
        <v>0.33</v>
      </c>
      <c r="L35" s="22">
        <v>26.1</v>
      </c>
      <c r="M35" s="22">
        <v>0.05</v>
      </c>
      <c r="N35" s="22">
        <v>0</v>
      </c>
      <c r="O35" s="52">
        <v>0</v>
      </c>
      <c r="P35" s="66"/>
      <c r="Q35" s="73"/>
      <c r="R35" s="73"/>
    </row>
    <row r="36" ht="14.4" customHeight="1" spans="1:18">
      <c r="A36" s="27" t="s">
        <v>45</v>
      </c>
      <c r="B36" s="39">
        <v>2017</v>
      </c>
      <c r="C36" s="39">
        <v>379</v>
      </c>
      <c r="D36" s="39">
        <v>200</v>
      </c>
      <c r="E36" s="22">
        <v>3.6</v>
      </c>
      <c r="F36" s="22">
        <v>2.67</v>
      </c>
      <c r="G36" s="22">
        <v>29.2</v>
      </c>
      <c r="H36" s="22">
        <v>155.2</v>
      </c>
      <c r="I36" s="22">
        <v>158.67</v>
      </c>
      <c r="J36" s="22">
        <v>16.8</v>
      </c>
      <c r="K36" s="22">
        <v>0.22</v>
      </c>
      <c r="L36" s="22">
        <v>82.4</v>
      </c>
      <c r="M36" s="22">
        <v>0.07</v>
      </c>
      <c r="N36" s="22">
        <v>1.17</v>
      </c>
      <c r="O36" s="52">
        <v>6.84</v>
      </c>
      <c r="P36" s="66"/>
      <c r="Q36" s="73"/>
      <c r="R36" s="73"/>
    </row>
    <row r="37" ht="14.4" customHeight="1" spans="1:18">
      <c r="A37" s="27" t="s">
        <v>46</v>
      </c>
      <c r="B37" s="39">
        <v>2017</v>
      </c>
      <c r="C37" s="39">
        <v>338</v>
      </c>
      <c r="D37" s="29">
        <v>100</v>
      </c>
      <c r="E37" s="22">
        <v>0.8</v>
      </c>
      <c r="F37" s="22">
        <v>5.5</v>
      </c>
      <c r="G37" s="22">
        <v>4.3</v>
      </c>
      <c r="H37" s="22">
        <v>67.1</v>
      </c>
      <c r="I37" s="22">
        <v>17.3</v>
      </c>
      <c r="J37" s="22">
        <v>3.9</v>
      </c>
      <c r="K37" s="22">
        <v>0.2</v>
      </c>
      <c r="L37" s="22">
        <v>21.2</v>
      </c>
      <c r="M37" s="22">
        <v>0</v>
      </c>
      <c r="N37" s="22">
        <v>1.8</v>
      </c>
      <c r="O37" s="52">
        <v>0</v>
      </c>
      <c r="P37" s="66"/>
      <c r="Q37" s="73"/>
      <c r="R37" s="73"/>
    </row>
    <row r="38" ht="14.4" customHeight="1" spans="1:18">
      <c r="A38" s="31" t="s">
        <v>30</v>
      </c>
      <c r="B38" s="24"/>
      <c r="C38" s="24"/>
      <c r="D38" s="39">
        <f>SUM(D34:D37)</f>
        <v>560</v>
      </c>
      <c r="E38" s="22">
        <f t="shared" ref="E38:O38" si="3">SUM(E34:E37)</f>
        <v>21.0875</v>
      </c>
      <c r="F38" s="22">
        <f t="shared" si="3"/>
        <v>19.44</v>
      </c>
      <c r="G38" s="22">
        <f t="shared" si="3"/>
        <v>84.66</v>
      </c>
      <c r="H38" s="22">
        <f t="shared" si="3"/>
        <v>585.94</v>
      </c>
      <c r="I38" s="22">
        <f t="shared" si="3"/>
        <v>486.9415</v>
      </c>
      <c r="J38" s="22">
        <f t="shared" si="3"/>
        <v>75.082</v>
      </c>
      <c r="K38" s="22">
        <f t="shared" si="3"/>
        <v>1.7965</v>
      </c>
      <c r="L38" s="22">
        <f t="shared" si="3"/>
        <v>510.304</v>
      </c>
      <c r="M38" s="22">
        <f t="shared" si="3"/>
        <v>0.189</v>
      </c>
      <c r="N38" s="22">
        <f t="shared" si="3"/>
        <v>3.2</v>
      </c>
      <c r="O38" s="52">
        <f t="shared" si="3"/>
        <v>135.28</v>
      </c>
      <c r="P38" s="66"/>
      <c r="Q38" s="73"/>
      <c r="R38" s="73"/>
    </row>
    <row r="39" ht="14.4" customHeight="1" spans="1:18">
      <c r="A39" s="44" t="s">
        <v>31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64"/>
      <c r="P39" s="66"/>
      <c r="Q39" s="73"/>
      <c r="R39" s="73"/>
    </row>
    <row r="40" ht="14.4" customHeight="1" spans="1:18">
      <c r="A40" s="31" t="s">
        <v>47</v>
      </c>
      <c r="B40" s="20">
        <v>2017</v>
      </c>
      <c r="C40" s="24">
        <v>112</v>
      </c>
      <c r="D40" s="39">
        <v>250</v>
      </c>
      <c r="E40" s="22">
        <v>2.6625</v>
      </c>
      <c r="F40" s="22">
        <v>4.5875</v>
      </c>
      <c r="G40" s="22">
        <v>17.1375</v>
      </c>
      <c r="H40" s="22">
        <v>116.23</v>
      </c>
      <c r="I40" s="22">
        <v>24.6</v>
      </c>
      <c r="J40" s="22">
        <v>27</v>
      </c>
      <c r="K40" s="22">
        <v>1.0875</v>
      </c>
      <c r="L40" s="22">
        <v>26.65</v>
      </c>
      <c r="M40" s="22">
        <v>0.1125</v>
      </c>
      <c r="N40" s="22">
        <v>8.25</v>
      </c>
      <c r="O40" s="52">
        <v>22.8</v>
      </c>
      <c r="P40" s="66"/>
      <c r="Q40" s="73"/>
      <c r="R40" s="73"/>
    </row>
    <row r="41" ht="14.4" customHeight="1" spans="1:18">
      <c r="A41" s="31" t="s">
        <v>33</v>
      </c>
      <c r="B41" s="20">
        <v>2017</v>
      </c>
      <c r="C41" s="24">
        <v>288</v>
      </c>
      <c r="D41" s="20">
        <v>10</v>
      </c>
      <c r="E41" s="22">
        <v>2.11</v>
      </c>
      <c r="F41" s="22">
        <v>1.36</v>
      </c>
      <c r="G41" s="22">
        <v>0</v>
      </c>
      <c r="H41" s="22">
        <v>20.67</v>
      </c>
      <c r="I41" s="22">
        <v>3.9</v>
      </c>
      <c r="J41" s="22">
        <v>2</v>
      </c>
      <c r="K41" s="22">
        <v>0.18</v>
      </c>
      <c r="L41" s="22">
        <v>14.3</v>
      </c>
      <c r="M41" s="22">
        <v>0.04</v>
      </c>
      <c r="N41" s="22">
        <v>0</v>
      </c>
      <c r="O41" s="52">
        <v>2.28</v>
      </c>
      <c r="P41" s="66"/>
      <c r="Q41" s="73"/>
      <c r="R41" s="73"/>
    </row>
    <row r="42" ht="14.4" customHeight="1" spans="1:18">
      <c r="A42" s="31" t="s">
        <v>48</v>
      </c>
      <c r="B42" s="20">
        <v>2011</v>
      </c>
      <c r="C42" s="24">
        <v>106</v>
      </c>
      <c r="D42" s="20">
        <v>260</v>
      </c>
      <c r="E42" s="22">
        <v>1.5</v>
      </c>
      <c r="F42" s="22">
        <v>2.2</v>
      </c>
      <c r="G42" s="22">
        <v>12.6</v>
      </c>
      <c r="H42" s="22">
        <v>84.8</v>
      </c>
      <c r="I42" s="38">
        <v>25.85</v>
      </c>
      <c r="J42" s="38">
        <v>31.125</v>
      </c>
      <c r="K42" s="67">
        <v>1.175</v>
      </c>
      <c r="L42" s="39">
        <v>76.8</v>
      </c>
      <c r="M42" s="38">
        <v>0.11</v>
      </c>
      <c r="N42" s="38">
        <v>2</v>
      </c>
      <c r="O42" s="38">
        <v>0</v>
      </c>
      <c r="P42" s="66"/>
      <c r="Q42" s="73"/>
      <c r="R42" s="73"/>
    </row>
    <row r="43" ht="14.4" customHeight="1" spans="1:18">
      <c r="A43" s="31" t="s">
        <v>49</v>
      </c>
      <c r="B43" s="20">
        <v>2017</v>
      </c>
      <c r="C43" s="24" t="s">
        <v>50</v>
      </c>
      <c r="D43" s="39">
        <v>100</v>
      </c>
      <c r="E43" s="22">
        <f>11.99*100/90</f>
        <v>13.3222222222222</v>
      </c>
      <c r="F43" s="22">
        <v>12.06</v>
      </c>
      <c r="G43" s="22">
        <f>8.67*100/90</f>
        <v>9.63333333333333</v>
      </c>
      <c r="H43" s="22">
        <v>209.9</v>
      </c>
      <c r="I43" s="22">
        <v>208.111111111111</v>
      </c>
      <c r="J43" s="22">
        <v>23.4444444444444</v>
      </c>
      <c r="K43" s="22">
        <v>0.655555555555556</v>
      </c>
      <c r="L43" s="22">
        <v>86.3333333333333</v>
      </c>
      <c r="M43" s="22">
        <v>0.0666666666666667</v>
      </c>
      <c r="N43" s="22">
        <v>0.911111111111111</v>
      </c>
      <c r="O43" s="52">
        <v>329.055555555556</v>
      </c>
      <c r="P43" s="66"/>
      <c r="Q43" s="73"/>
      <c r="R43" s="73"/>
    </row>
    <row r="44" ht="14.4" customHeight="1" spans="1:18">
      <c r="A44" s="27" t="s">
        <v>51</v>
      </c>
      <c r="B44" s="39">
        <v>2017</v>
      </c>
      <c r="C44" s="39">
        <v>304</v>
      </c>
      <c r="D44" s="39">
        <v>200</v>
      </c>
      <c r="E44" s="22">
        <f>3.67*200/150</f>
        <v>4.89333333333333</v>
      </c>
      <c r="F44" s="22">
        <v>6.23</v>
      </c>
      <c r="G44" s="22">
        <v>44.89</v>
      </c>
      <c r="H44" s="22">
        <v>267.96</v>
      </c>
      <c r="I44" s="22">
        <v>26.36</v>
      </c>
      <c r="J44" s="22">
        <v>17.48</v>
      </c>
      <c r="K44" s="22">
        <v>0</v>
      </c>
      <c r="L44" s="22">
        <v>22</v>
      </c>
      <c r="M44" s="22">
        <v>0.06</v>
      </c>
      <c r="N44" s="22">
        <v>0</v>
      </c>
      <c r="O44" s="52">
        <v>0.2</v>
      </c>
      <c r="P44" s="66"/>
      <c r="Q44" s="73"/>
      <c r="R44" s="73"/>
    </row>
    <row r="45" ht="14.4" customHeight="1" spans="1:18">
      <c r="A45" s="27" t="s">
        <v>52</v>
      </c>
      <c r="B45" s="39">
        <v>2017</v>
      </c>
      <c r="C45" s="39">
        <v>49</v>
      </c>
      <c r="D45" s="39">
        <v>100</v>
      </c>
      <c r="E45" s="22">
        <v>2.598</v>
      </c>
      <c r="F45" s="22">
        <v>6.22</v>
      </c>
      <c r="G45" s="22">
        <v>22.149</v>
      </c>
      <c r="H45" s="22">
        <v>154.9</v>
      </c>
      <c r="I45" s="22">
        <v>7.481</v>
      </c>
      <c r="J45" s="22">
        <v>4.279</v>
      </c>
      <c r="K45" s="22">
        <v>0.348</v>
      </c>
      <c r="L45" s="22">
        <v>21.45</v>
      </c>
      <c r="M45" s="22">
        <v>0.27</v>
      </c>
      <c r="N45" s="22">
        <v>6.11666666666667</v>
      </c>
      <c r="O45" s="52">
        <v>35.6166666666667</v>
      </c>
      <c r="P45" s="66"/>
      <c r="Q45" s="73"/>
      <c r="R45" s="73"/>
    </row>
    <row r="46" ht="14.4" customHeight="1" spans="1:18">
      <c r="A46" s="31" t="s">
        <v>53</v>
      </c>
      <c r="B46" s="24">
        <v>2017</v>
      </c>
      <c r="C46" s="24">
        <v>377</v>
      </c>
      <c r="D46" s="39">
        <v>200</v>
      </c>
      <c r="E46" s="39">
        <v>0.13</v>
      </c>
      <c r="F46" s="39">
        <v>0.02</v>
      </c>
      <c r="G46" s="39">
        <v>10.25</v>
      </c>
      <c r="H46" s="39">
        <v>41.68</v>
      </c>
      <c r="I46" s="39">
        <v>14.05</v>
      </c>
      <c r="J46" s="39">
        <v>2.4</v>
      </c>
      <c r="K46" s="39">
        <v>0.38</v>
      </c>
      <c r="L46" s="39">
        <v>4.4</v>
      </c>
      <c r="M46" s="39">
        <v>0</v>
      </c>
      <c r="N46" s="39">
        <v>2.83</v>
      </c>
      <c r="O46" s="68">
        <v>0</v>
      </c>
      <c r="P46" s="66"/>
      <c r="Q46" s="73"/>
      <c r="R46" s="73"/>
    </row>
    <row r="47" ht="14.4" customHeight="1" spans="1:18">
      <c r="A47" s="31" t="s">
        <v>38</v>
      </c>
      <c r="B47" s="24" t="s">
        <v>27</v>
      </c>
      <c r="C47" s="24" t="s">
        <v>27</v>
      </c>
      <c r="D47" s="20">
        <v>20</v>
      </c>
      <c r="E47" s="22">
        <v>1.58</v>
      </c>
      <c r="F47" s="22">
        <v>0.2</v>
      </c>
      <c r="G47" s="22">
        <v>9.66</v>
      </c>
      <c r="H47" s="22">
        <v>46.76</v>
      </c>
      <c r="I47" s="22">
        <v>4.6</v>
      </c>
      <c r="J47" s="22">
        <v>6.6</v>
      </c>
      <c r="K47" s="22">
        <v>0.22</v>
      </c>
      <c r="L47" s="22">
        <v>17.4</v>
      </c>
      <c r="M47" s="22">
        <v>0.08</v>
      </c>
      <c r="N47" s="22">
        <v>0</v>
      </c>
      <c r="O47" s="52">
        <v>0</v>
      </c>
      <c r="P47" s="66"/>
      <c r="Q47" s="73"/>
      <c r="R47" s="73"/>
    </row>
    <row r="48" ht="14.4" customHeight="1" spans="1:18">
      <c r="A48" s="31" t="s">
        <v>39</v>
      </c>
      <c r="B48" s="24" t="s">
        <v>27</v>
      </c>
      <c r="C48" s="24" t="s">
        <v>27</v>
      </c>
      <c r="D48" s="24">
        <v>40</v>
      </c>
      <c r="E48" s="22">
        <v>2.24</v>
      </c>
      <c r="F48" s="22">
        <v>0.44</v>
      </c>
      <c r="G48" s="22">
        <v>19.76</v>
      </c>
      <c r="H48" s="22">
        <v>91.96</v>
      </c>
      <c r="I48" s="22">
        <v>9.2</v>
      </c>
      <c r="J48" s="22">
        <v>10</v>
      </c>
      <c r="K48" s="22">
        <v>1.24</v>
      </c>
      <c r="L48" s="22">
        <v>42.4</v>
      </c>
      <c r="M48" s="22">
        <v>0.04</v>
      </c>
      <c r="N48" s="22">
        <v>0</v>
      </c>
      <c r="O48" s="52">
        <v>0</v>
      </c>
      <c r="P48" s="66"/>
      <c r="Q48" s="73"/>
      <c r="R48" s="73"/>
    </row>
    <row r="49" ht="12.6" customHeight="1" spans="1:18">
      <c r="A49" s="31" t="s">
        <v>30</v>
      </c>
      <c r="B49" s="24"/>
      <c r="C49" s="24"/>
      <c r="D49" s="39">
        <f t="shared" ref="D49:O49" si="4">SUM(D40:D48)</f>
        <v>1180</v>
      </c>
      <c r="E49" s="22">
        <f t="shared" si="4"/>
        <v>31.0360555555556</v>
      </c>
      <c r="F49" s="22">
        <f t="shared" si="4"/>
        <v>33.3175</v>
      </c>
      <c r="G49" s="22">
        <f t="shared" si="4"/>
        <v>146.079833333333</v>
      </c>
      <c r="H49" s="22">
        <f t="shared" si="4"/>
        <v>1034.86</v>
      </c>
      <c r="I49" s="22">
        <f t="shared" si="4"/>
        <v>324.152111111111</v>
      </c>
      <c r="J49" s="22">
        <f t="shared" si="4"/>
        <v>124.328444444444</v>
      </c>
      <c r="K49" s="22">
        <f t="shared" si="4"/>
        <v>5.28605555555556</v>
      </c>
      <c r="L49" s="22">
        <f t="shared" si="4"/>
        <v>311.733333333333</v>
      </c>
      <c r="M49" s="22">
        <f t="shared" si="4"/>
        <v>0.779166666666667</v>
      </c>
      <c r="N49" s="22">
        <f t="shared" si="4"/>
        <v>20.1077777777778</v>
      </c>
      <c r="O49" s="52">
        <f t="shared" si="4"/>
        <v>389.952222222222</v>
      </c>
      <c r="P49" s="66"/>
      <c r="Q49" s="73"/>
      <c r="R49" s="73"/>
    </row>
    <row r="50" s="2" customFormat="1" ht="12.6" customHeight="1" spans="1:18">
      <c r="A50" s="40" t="s">
        <v>41</v>
      </c>
      <c r="B50" s="41"/>
      <c r="C50" s="41"/>
      <c r="D50" s="46">
        <f t="shared" ref="D50:O50" si="5">D49+D38</f>
        <v>1740</v>
      </c>
      <c r="E50" s="42">
        <f t="shared" si="5"/>
        <v>52.1235555555556</v>
      </c>
      <c r="F50" s="42">
        <f t="shared" si="5"/>
        <v>52.7575</v>
      </c>
      <c r="G50" s="42">
        <f t="shared" si="5"/>
        <v>230.739833333333</v>
      </c>
      <c r="H50" s="42">
        <f t="shared" si="5"/>
        <v>1620.8</v>
      </c>
      <c r="I50" s="42">
        <f t="shared" si="5"/>
        <v>811.093611111111</v>
      </c>
      <c r="J50" s="42">
        <f t="shared" si="5"/>
        <v>199.410444444444</v>
      </c>
      <c r="K50" s="42">
        <f t="shared" si="5"/>
        <v>7.08255555555556</v>
      </c>
      <c r="L50" s="42">
        <f t="shared" si="5"/>
        <v>822.037333333333</v>
      </c>
      <c r="M50" s="42">
        <f t="shared" si="5"/>
        <v>0.968166666666667</v>
      </c>
      <c r="N50" s="42">
        <f t="shared" si="5"/>
        <v>23.3077777777778</v>
      </c>
      <c r="O50" s="62">
        <f t="shared" si="5"/>
        <v>525.232222222222</v>
      </c>
      <c r="P50" s="69"/>
      <c r="Q50" s="72"/>
      <c r="R50" s="72"/>
    </row>
    <row r="51" s="2" customFormat="1" ht="14.4" customHeight="1" spans="1:18">
      <c r="A51" s="47" t="s">
        <v>54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57"/>
      <c r="Q51" s="72"/>
      <c r="R51" s="72"/>
    </row>
    <row r="52" s="2" customFormat="1" ht="12.6" customHeight="1" spans="1:18">
      <c r="A52" s="48" t="s">
        <v>23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57"/>
      <c r="Q52" s="72"/>
      <c r="R52" s="72"/>
    </row>
    <row r="53" ht="30" spans="1:18">
      <c r="A53" s="31" t="s">
        <v>55</v>
      </c>
      <c r="B53" s="24">
        <v>2017</v>
      </c>
      <c r="C53" s="24">
        <v>175</v>
      </c>
      <c r="D53" s="39">
        <v>260</v>
      </c>
      <c r="E53" s="22">
        <v>12.9257142857143</v>
      </c>
      <c r="F53" s="22">
        <f>13.54*260/210</f>
        <v>16.7638095238095</v>
      </c>
      <c r="G53" s="22">
        <v>20.36</v>
      </c>
      <c r="H53" s="22">
        <v>273.75</v>
      </c>
      <c r="I53" s="22">
        <v>196.361904761905</v>
      </c>
      <c r="J53" s="22">
        <v>33.0571428571429</v>
      </c>
      <c r="K53" s="22">
        <v>0.928571428571429</v>
      </c>
      <c r="L53" s="22">
        <v>194.752380952381</v>
      </c>
      <c r="M53" s="22">
        <v>0.148571428571429</v>
      </c>
      <c r="N53" s="22">
        <v>1.48571428571429</v>
      </c>
      <c r="O53" s="52">
        <v>114.325714285714</v>
      </c>
      <c r="P53" s="66" t="s">
        <v>54</v>
      </c>
      <c r="Q53" s="73"/>
      <c r="R53" s="73"/>
    </row>
    <row r="54" ht="12.6" customHeight="1" spans="1:18">
      <c r="A54" s="27" t="s">
        <v>26</v>
      </c>
      <c r="B54" s="24" t="s">
        <v>27</v>
      </c>
      <c r="C54" s="24" t="s">
        <v>27</v>
      </c>
      <c r="D54" s="22">
        <v>60</v>
      </c>
      <c r="E54" s="22">
        <v>4.74</v>
      </c>
      <c r="F54" s="22">
        <v>0.6</v>
      </c>
      <c r="G54" s="22">
        <v>28.98</v>
      </c>
      <c r="H54" s="22">
        <v>140.28</v>
      </c>
      <c r="I54" s="22">
        <v>13.8</v>
      </c>
      <c r="J54" s="22">
        <v>19.8</v>
      </c>
      <c r="K54" s="22">
        <v>0.66</v>
      </c>
      <c r="L54" s="22">
        <v>52.2</v>
      </c>
      <c r="M54" s="22">
        <v>0.1</v>
      </c>
      <c r="N54" s="22">
        <v>0</v>
      </c>
      <c r="O54" s="52">
        <v>0</v>
      </c>
      <c r="P54" s="66"/>
      <c r="Q54" s="73"/>
      <c r="R54" s="73"/>
    </row>
    <row r="55" s="3" customFormat="1" ht="12.6" customHeight="1" spans="1:18">
      <c r="A55" s="49" t="s">
        <v>56</v>
      </c>
      <c r="B55" s="50" t="s">
        <v>27</v>
      </c>
      <c r="C55" s="50" t="s">
        <v>27</v>
      </c>
      <c r="D55" s="51">
        <v>30</v>
      </c>
      <c r="E55" s="51">
        <f>0.38*30/20</f>
        <v>0.57</v>
      </c>
      <c r="F55" s="51">
        <v>1.62</v>
      </c>
      <c r="G55" s="51">
        <v>9.62</v>
      </c>
      <c r="H55" s="51">
        <f>82.9*30/20</f>
        <v>124.35</v>
      </c>
      <c r="I55" s="51">
        <f>8.2*30/20</f>
        <v>12.3</v>
      </c>
      <c r="J55" s="51">
        <f>3*30/20</f>
        <v>4.5</v>
      </c>
      <c r="K55" s="51">
        <f>0.2*30/20</f>
        <v>0.3</v>
      </c>
      <c r="L55" s="51">
        <f>17.4*30/20</f>
        <v>26.1</v>
      </c>
      <c r="M55" s="51">
        <f>0.02*30/20</f>
        <v>0.03</v>
      </c>
      <c r="N55" s="51">
        <v>0</v>
      </c>
      <c r="O55" s="51">
        <f>19.5*1.14</f>
        <v>22.23</v>
      </c>
      <c r="P55" s="66"/>
      <c r="Q55" s="74"/>
      <c r="R55" s="74"/>
    </row>
    <row r="56" ht="12.6" customHeight="1" spans="1:18">
      <c r="A56" s="27" t="s">
        <v>57</v>
      </c>
      <c r="B56" s="39">
        <v>2017</v>
      </c>
      <c r="C56" s="39">
        <v>8</v>
      </c>
      <c r="D56" s="39">
        <v>200</v>
      </c>
      <c r="E56" s="22">
        <v>0.677777777777778</v>
      </c>
      <c r="F56" s="22">
        <v>0.277777777777778</v>
      </c>
      <c r="G56" s="22">
        <v>17.9777777777778</v>
      </c>
      <c r="H56" s="22">
        <v>77.1222222222222</v>
      </c>
      <c r="I56" s="22">
        <v>21.3333333333333</v>
      </c>
      <c r="J56" s="22">
        <v>3.44444444444444</v>
      </c>
      <c r="K56" s="22">
        <v>0.633333333333333</v>
      </c>
      <c r="L56" s="22">
        <v>3.44444444444444</v>
      </c>
      <c r="M56" s="22">
        <v>0.01</v>
      </c>
      <c r="N56" s="22">
        <v>19</v>
      </c>
      <c r="O56" s="52">
        <v>0</v>
      </c>
      <c r="P56" s="66"/>
      <c r="Q56" s="73"/>
      <c r="R56" s="73"/>
    </row>
    <row r="57" ht="12.6" customHeight="1" spans="1:22">
      <c r="A57" s="31" t="s">
        <v>30</v>
      </c>
      <c r="B57" s="24"/>
      <c r="C57" s="24"/>
      <c r="D57" s="39">
        <v>550</v>
      </c>
      <c r="E57" s="22">
        <f>SUM(E53:E56)</f>
        <v>18.9134920634921</v>
      </c>
      <c r="F57" s="22">
        <f>SUM(F53:F56)</f>
        <v>19.2615873015873</v>
      </c>
      <c r="G57" s="22">
        <f>SUM(G53:G56)</f>
        <v>76.9377777777778</v>
      </c>
      <c r="H57" s="22">
        <f>SUM(H53:H56)</f>
        <v>615.502222222222</v>
      </c>
      <c r="I57" s="22">
        <f>SUM(I53:I56)</f>
        <v>243.795238095238</v>
      </c>
      <c r="J57" s="22">
        <v>60.8015873015873</v>
      </c>
      <c r="K57" s="22">
        <v>2.52190476190476</v>
      </c>
      <c r="L57" s="22">
        <v>276.496825396825</v>
      </c>
      <c r="M57" s="22">
        <v>0.288571428571429</v>
      </c>
      <c r="N57" s="22">
        <v>20.4857142857143</v>
      </c>
      <c r="O57" s="52">
        <v>136.555714285714</v>
      </c>
      <c r="P57" s="66"/>
      <c r="Q57" s="73"/>
      <c r="R57" s="73"/>
      <c r="V57" s="75"/>
    </row>
    <row r="58" ht="12.6" customHeight="1" spans="1:22">
      <c r="A58" s="41" t="s">
        <v>31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66"/>
      <c r="Q58" s="73"/>
      <c r="R58" s="73"/>
      <c r="V58" s="75"/>
    </row>
    <row r="59" ht="12.6" customHeight="1" spans="1:18">
      <c r="A59" s="31" t="s">
        <v>58</v>
      </c>
      <c r="B59" s="24">
        <v>2017</v>
      </c>
      <c r="C59" s="24">
        <v>82</v>
      </c>
      <c r="D59" s="34">
        <v>250</v>
      </c>
      <c r="E59" s="34">
        <f>1.45*250/200</f>
        <v>1.8125</v>
      </c>
      <c r="F59" s="34">
        <f>3.93*250/200</f>
        <v>4.9125</v>
      </c>
      <c r="G59" s="34">
        <f>10.19*250/200</f>
        <v>12.7375</v>
      </c>
      <c r="H59" s="34">
        <v>99.12</v>
      </c>
      <c r="I59" s="34">
        <v>44.38</v>
      </c>
      <c r="J59" s="34">
        <v>10.96</v>
      </c>
      <c r="K59" s="34">
        <v>0.54</v>
      </c>
      <c r="L59" s="34">
        <f>53.03*200/250</f>
        <v>42.424</v>
      </c>
      <c r="M59" s="34">
        <f>0.05*200/250</f>
        <v>0.04</v>
      </c>
      <c r="N59" s="34">
        <v>6.54</v>
      </c>
      <c r="O59" s="61">
        <v>0</v>
      </c>
      <c r="P59" s="66"/>
      <c r="Q59" s="73"/>
      <c r="R59" s="73"/>
    </row>
    <row r="60" ht="12.6" customHeight="1" spans="1:18">
      <c r="A60" s="31" t="s">
        <v>33</v>
      </c>
      <c r="B60" s="24">
        <v>2017</v>
      </c>
      <c r="C60" s="24">
        <v>288</v>
      </c>
      <c r="D60" s="20">
        <v>10</v>
      </c>
      <c r="E60" s="22">
        <v>2.11</v>
      </c>
      <c r="F60" s="22">
        <v>1.36</v>
      </c>
      <c r="G60" s="22">
        <v>0</v>
      </c>
      <c r="H60" s="22">
        <v>20.67</v>
      </c>
      <c r="I60" s="22">
        <v>3.9</v>
      </c>
      <c r="J60" s="22">
        <v>2</v>
      </c>
      <c r="K60" s="22">
        <v>0.18</v>
      </c>
      <c r="L60" s="22">
        <v>14.3</v>
      </c>
      <c r="M60" s="22">
        <v>0.04</v>
      </c>
      <c r="N60" s="22">
        <v>0</v>
      </c>
      <c r="O60" s="52">
        <f>2*1.14</f>
        <v>2.28</v>
      </c>
      <c r="P60" s="66"/>
      <c r="Q60" s="73"/>
      <c r="R60" s="73"/>
    </row>
    <row r="61" ht="12.6" customHeight="1" spans="1:18">
      <c r="A61" s="31" t="s">
        <v>59</v>
      </c>
      <c r="B61" s="24">
        <v>2011</v>
      </c>
      <c r="C61" s="24">
        <v>111</v>
      </c>
      <c r="D61" s="20">
        <v>260</v>
      </c>
      <c r="E61" s="22">
        <v>1.9</v>
      </c>
      <c r="F61" s="22">
        <v>4.06</v>
      </c>
      <c r="G61" s="22">
        <v>10.4</v>
      </c>
      <c r="H61" s="52">
        <v>93.6</v>
      </c>
      <c r="I61" s="22">
        <v>41.4</v>
      </c>
      <c r="J61" s="22">
        <v>18.9</v>
      </c>
      <c r="K61" s="22">
        <v>0.66</v>
      </c>
      <c r="L61" s="22">
        <v>243.9</v>
      </c>
      <c r="M61" s="22">
        <v>0.05</v>
      </c>
      <c r="N61" s="22">
        <v>1.14</v>
      </c>
      <c r="O61" s="52">
        <v>0</v>
      </c>
      <c r="P61" s="66"/>
      <c r="Q61" s="73"/>
      <c r="R61" s="73"/>
    </row>
    <row r="62" ht="12.6" customHeight="1" spans="1:18">
      <c r="A62" s="27" t="s">
        <v>60</v>
      </c>
      <c r="B62" s="24">
        <v>2017</v>
      </c>
      <c r="C62" s="39">
        <v>291</v>
      </c>
      <c r="D62" s="39">
        <v>250</v>
      </c>
      <c r="E62" s="22">
        <v>19.05</v>
      </c>
      <c r="F62" s="22">
        <v>20.58</v>
      </c>
      <c r="G62" s="22">
        <f>42*250/200</f>
        <v>52.5</v>
      </c>
      <c r="H62" s="52">
        <v>489.94</v>
      </c>
      <c r="I62" s="70">
        <f>45.1*250/200</f>
        <v>56.375</v>
      </c>
      <c r="J62" s="70">
        <f>47.5*250/200</f>
        <v>59.375</v>
      </c>
      <c r="K62" s="70">
        <f>2.19*250/200</f>
        <v>2.7375</v>
      </c>
      <c r="L62" s="70">
        <v>179.13</v>
      </c>
      <c r="M62" s="70">
        <f>0.06*250/200</f>
        <v>0.075</v>
      </c>
      <c r="N62" s="70">
        <f>1.01*250/200</f>
        <v>1.2625</v>
      </c>
      <c r="O62" s="71">
        <f>248.03*250/200</f>
        <v>310.0375</v>
      </c>
      <c r="P62" s="66"/>
      <c r="Q62" s="73"/>
      <c r="R62" s="73"/>
    </row>
    <row r="63" ht="12.6" customHeight="1" spans="1:18">
      <c r="A63" s="27" t="s">
        <v>61</v>
      </c>
      <c r="B63" s="24">
        <v>2017</v>
      </c>
      <c r="C63" s="39">
        <v>59</v>
      </c>
      <c r="D63" s="53">
        <v>100</v>
      </c>
      <c r="E63" s="34">
        <f>1.08</f>
        <v>1.08</v>
      </c>
      <c r="F63" s="34">
        <f>0.18</f>
        <v>0.18</v>
      </c>
      <c r="G63" s="34">
        <f>8.62</f>
        <v>8.62</v>
      </c>
      <c r="H63" s="34">
        <f>40.4</f>
        <v>40.4</v>
      </c>
      <c r="I63" s="34">
        <f>24.28</f>
        <v>24.28</v>
      </c>
      <c r="J63" s="34">
        <f>3.75</f>
        <v>3.75</v>
      </c>
      <c r="K63" s="34">
        <f>1.08</f>
        <v>1.08</v>
      </c>
      <c r="L63" s="34">
        <f>44</f>
        <v>44</v>
      </c>
      <c r="M63" s="34">
        <f>0.05</f>
        <v>0.05</v>
      </c>
      <c r="N63" s="34">
        <f>6.25</f>
        <v>6.25</v>
      </c>
      <c r="O63" s="61">
        <v>0</v>
      </c>
      <c r="P63" s="66"/>
      <c r="Q63" s="73"/>
      <c r="R63" s="73"/>
    </row>
    <row r="64" ht="12.6" customHeight="1" spans="1:18">
      <c r="A64" s="27" t="s">
        <v>28</v>
      </c>
      <c r="B64" s="39">
        <v>2017</v>
      </c>
      <c r="C64" s="39">
        <v>376</v>
      </c>
      <c r="D64" s="29">
        <v>200</v>
      </c>
      <c r="E64" s="22">
        <v>0.2</v>
      </c>
      <c r="F64" s="22">
        <v>0</v>
      </c>
      <c r="G64" s="22">
        <v>14</v>
      </c>
      <c r="H64" s="22">
        <v>28</v>
      </c>
      <c r="I64" s="22">
        <v>6</v>
      </c>
      <c r="J64" s="22">
        <v>0</v>
      </c>
      <c r="K64" s="22">
        <v>0.4</v>
      </c>
      <c r="L64" s="22">
        <v>0</v>
      </c>
      <c r="M64" s="22">
        <v>0</v>
      </c>
      <c r="N64" s="22">
        <v>0</v>
      </c>
      <c r="O64" s="22">
        <v>0</v>
      </c>
      <c r="P64" s="66"/>
      <c r="Q64" s="73"/>
      <c r="R64" s="73"/>
    </row>
    <row r="65" ht="12.6" customHeight="1" spans="1:18">
      <c r="A65" s="31" t="s">
        <v>38</v>
      </c>
      <c r="B65" s="24" t="s">
        <v>27</v>
      </c>
      <c r="C65" s="24" t="s">
        <v>27</v>
      </c>
      <c r="D65" s="20">
        <v>20</v>
      </c>
      <c r="E65" s="22">
        <v>1.58</v>
      </c>
      <c r="F65" s="22">
        <v>0.2</v>
      </c>
      <c r="G65" s="22">
        <v>9.66</v>
      </c>
      <c r="H65" s="22">
        <v>46.76</v>
      </c>
      <c r="I65" s="22">
        <v>4.6</v>
      </c>
      <c r="J65" s="22">
        <v>6.6</v>
      </c>
      <c r="K65" s="22">
        <v>0.22</v>
      </c>
      <c r="L65" s="22">
        <v>17.4</v>
      </c>
      <c r="M65" s="22">
        <v>0.08</v>
      </c>
      <c r="N65" s="22">
        <v>0</v>
      </c>
      <c r="O65" s="52">
        <v>0</v>
      </c>
      <c r="P65" s="66"/>
      <c r="Q65" s="73"/>
      <c r="R65" s="73"/>
    </row>
    <row r="66" ht="12.6" customHeight="1" spans="1:18">
      <c r="A66" s="31" t="s">
        <v>39</v>
      </c>
      <c r="B66" s="24" t="s">
        <v>27</v>
      </c>
      <c r="C66" s="24" t="s">
        <v>27</v>
      </c>
      <c r="D66" s="24">
        <v>40</v>
      </c>
      <c r="E66" s="22">
        <v>2.24</v>
      </c>
      <c r="F66" s="22">
        <v>0.44</v>
      </c>
      <c r="G66" s="22">
        <v>19.76</v>
      </c>
      <c r="H66" s="22">
        <v>91.96</v>
      </c>
      <c r="I66" s="22">
        <v>9.2</v>
      </c>
      <c r="J66" s="22">
        <v>10</v>
      </c>
      <c r="K66" s="22">
        <v>1.24</v>
      </c>
      <c r="L66" s="22">
        <v>42.4</v>
      </c>
      <c r="M66" s="22">
        <v>0.04</v>
      </c>
      <c r="N66" s="22">
        <v>0</v>
      </c>
      <c r="O66" s="52">
        <v>0</v>
      </c>
      <c r="P66" s="66"/>
      <c r="Q66" s="73"/>
      <c r="R66" s="73"/>
    </row>
    <row r="67" ht="12.6" customHeight="1" spans="1:18">
      <c r="A67" s="31" t="s">
        <v>30</v>
      </c>
      <c r="B67" s="24"/>
      <c r="C67" s="24"/>
      <c r="D67" s="22">
        <f t="shared" ref="D67:O67" si="6">SUM(D59:D66)</f>
        <v>1130</v>
      </c>
      <c r="E67" s="22">
        <f t="shared" si="6"/>
        <v>29.9725</v>
      </c>
      <c r="F67" s="22">
        <f t="shared" si="6"/>
        <v>31.7325</v>
      </c>
      <c r="G67" s="22">
        <f t="shared" si="6"/>
        <v>127.6775</v>
      </c>
      <c r="H67" s="22">
        <f t="shared" si="6"/>
        <v>910.45</v>
      </c>
      <c r="I67" s="22">
        <f t="shared" si="6"/>
        <v>190.135</v>
      </c>
      <c r="J67" s="22">
        <f t="shared" si="6"/>
        <v>111.585</v>
      </c>
      <c r="K67" s="22">
        <f t="shared" si="6"/>
        <v>7.0575</v>
      </c>
      <c r="L67" s="22">
        <f t="shared" si="6"/>
        <v>583.554</v>
      </c>
      <c r="M67" s="22">
        <f t="shared" si="6"/>
        <v>0.375</v>
      </c>
      <c r="N67" s="22">
        <f t="shared" si="6"/>
        <v>15.1925</v>
      </c>
      <c r="O67" s="52">
        <f t="shared" si="6"/>
        <v>312.3175</v>
      </c>
      <c r="P67" s="66"/>
      <c r="Q67" s="73"/>
      <c r="R67" s="73"/>
    </row>
    <row r="68" s="2" customFormat="1" ht="12.6" customHeight="1" spans="1:18">
      <c r="A68" s="40" t="s">
        <v>41</v>
      </c>
      <c r="B68" s="41"/>
      <c r="C68" s="41"/>
      <c r="D68" s="42">
        <f t="shared" ref="D68:O68" si="7">D67+D57</f>
        <v>1680</v>
      </c>
      <c r="E68" s="42">
        <f t="shared" si="7"/>
        <v>48.8859920634921</v>
      </c>
      <c r="F68" s="42">
        <f t="shared" si="7"/>
        <v>50.9940873015873</v>
      </c>
      <c r="G68" s="42">
        <f t="shared" si="7"/>
        <v>204.615277777778</v>
      </c>
      <c r="H68" s="42">
        <f t="shared" si="7"/>
        <v>1525.95222222222</v>
      </c>
      <c r="I68" s="42">
        <f t="shared" si="7"/>
        <v>433.930238095238</v>
      </c>
      <c r="J68" s="42">
        <f t="shared" si="7"/>
        <v>172.386587301587</v>
      </c>
      <c r="K68" s="42">
        <f t="shared" si="7"/>
        <v>9.57940476190476</v>
      </c>
      <c r="L68" s="42">
        <f t="shared" si="7"/>
        <v>860.050825396825</v>
      </c>
      <c r="M68" s="42">
        <f t="shared" si="7"/>
        <v>0.663571428571429</v>
      </c>
      <c r="N68" s="42">
        <f t="shared" si="7"/>
        <v>35.6782142857143</v>
      </c>
      <c r="O68" s="62">
        <f t="shared" si="7"/>
        <v>448.873214285714</v>
      </c>
      <c r="P68" s="69"/>
      <c r="Q68" s="72"/>
      <c r="R68" s="72"/>
    </row>
    <row r="69" s="2" customFormat="1" customHeight="1" spans="1:18">
      <c r="A69" s="30" t="s">
        <v>62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57"/>
      <c r="Q69" s="72"/>
      <c r="R69" s="72"/>
    </row>
    <row r="70" s="2" customFormat="1" ht="12.6" customHeight="1" spans="1:18">
      <c r="A70" s="47" t="s">
        <v>23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57"/>
      <c r="Q70" s="72"/>
      <c r="R70" s="72"/>
    </row>
    <row r="71" s="3" customFormat="1" ht="19.2" customHeight="1" spans="1:18">
      <c r="A71" s="31" t="s">
        <v>63</v>
      </c>
      <c r="B71" s="20">
        <v>2017</v>
      </c>
      <c r="C71" s="20">
        <v>181</v>
      </c>
      <c r="D71" s="29">
        <v>260</v>
      </c>
      <c r="E71" s="22">
        <v>12.17</v>
      </c>
      <c r="F71" s="22">
        <v>6.71</v>
      </c>
      <c r="G71" s="22">
        <f>35.9*250/200</f>
        <v>44.875</v>
      </c>
      <c r="H71" s="22">
        <v>286.7</v>
      </c>
      <c r="I71" s="22">
        <v>250.305714285714</v>
      </c>
      <c r="J71" s="22">
        <v>9.78095238095238</v>
      </c>
      <c r="K71" s="22">
        <v>0.581904761904762</v>
      </c>
      <c r="L71" s="22">
        <v>45.5619047619048</v>
      </c>
      <c r="M71" s="22">
        <v>0.0495238095238095</v>
      </c>
      <c r="N71" s="22">
        <v>0</v>
      </c>
      <c r="O71" s="22">
        <v>65.46</v>
      </c>
      <c r="P71" s="65" t="s">
        <v>62</v>
      </c>
      <c r="Q71" s="74"/>
      <c r="R71" s="74"/>
    </row>
    <row r="72" s="3" customFormat="1" spans="1:18">
      <c r="A72" s="23" t="s">
        <v>64</v>
      </c>
      <c r="B72" s="39">
        <v>2017</v>
      </c>
      <c r="C72" s="39">
        <v>3</v>
      </c>
      <c r="D72" s="21">
        <v>40</v>
      </c>
      <c r="E72" s="76">
        <v>4.9</v>
      </c>
      <c r="F72" s="22">
        <v>11.55</v>
      </c>
      <c r="G72" s="22">
        <v>17.1</v>
      </c>
      <c r="H72" s="76">
        <v>193</v>
      </c>
      <c r="I72" s="22">
        <v>106</v>
      </c>
      <c r="J72" s="22">
        <v>4.8</v>
      </c>
      <c r="K72" s="22">
        <v>0.12</v>
      </c>
      <c r="L72" s="22">
        <v>0.09</v>
      </c>
      <c r="M72" s="22">
        <v>0.06</v>
      </c>
      <c r="N72" s="22">
        <v>0.11</v>
      </c>
      <c r="O72" s="52">
        <v>39</v>
      </c>
      <c r="P72" s="66"/>
      <c r="Q72" s="74"/>
      <c r="R72" s="74"/>
    </row>
    <row r="73" s="3" customFormat="1" spans="1:18">
      <c r="A73" s="19" t="s">
        <v>53</v>
      </c>
      <c r="B73" s="24">
        <v>2017</v>
      </c>
      <c r="C73" s="24">
        <v>377</v>
      </c>
      <c r="D73" s="21">
        <v>200</v>
      </c>
      <c r="E73" s="39">
        <v>0.13</v>
      </c>
      <c r="F73" s="39">
        <v>0.02</v>
      </c>
      <c r="G73" s="39">
        <v>10.25</v>
      </c>
      <c r="H73" s="39">
        <v>41.68</v>
      </c>
      <c r="I73" s="39">
        <v>14.05</v>
      </c>
      <c r="J73" s="39">
        <v>2.4</v>
      </c>
      <c r="K73" s="39">
        <v>0.38</v>
      </c>
      <c r="L73" s="39">
        <v>4.4</v>
      </c>
      <c r="M73" s="39">
        <v>0</v>
      </c>
      <c r="N73" s="39">
        <v>2.83</v>
      </c>
      <c r="O73" s="68">
        <v>0</v>
      </c>
      <c r="P73" s="66"/>
      <c r="Q73" s="74"/>
      <c r="R73" s="74"/>
    </row>
    <row r="74" s="3" customFormat="1" spans="1:18">
      <c r="A74" s="23" t="s">
        <v>65</v>
      </c>
      <c r="B74" s="39">
        <v>2017</v>
      </c>
      <c r="C74" s="39">
        <v>338</v>
      </c>
      <c r="D74" s="21">
        <v>100</v>
      </c>
      <c r="E74" s="22">
        <v>0.9</v>
      </c>
      <c r="F74" s="22">
        <v>0.2</v>
      </c>
      <c r="G74" s="22">
        <v>8.1</v>
      </c>
      <c r="H74" s="22">
        <v>37.8</v>
      </c>
      <c r="I74" s="22">
        <v>34</v>
      </c>
      <c r="J74" s="22">
        <v>13</v>
      </c>
      <c r="K74" s="22">
        <v>0.3</v>
      </c>
      <c r="L74" s="22">
        <v>18.33</v>
      </c>
      <c r="M74" s="22">
        <v>0.04</v>
      </c>
      <c r="N74" s="22">
        <v>26</v>
      </c>
      <c r="O74" s="52">
        <v>0</v>
      </c>
      <c r="P74" s="66"/>
      <c r="Q74" s="74"/>
      <c r="R74" s="74"/>
    </row>
    <row r="75" s="3" customFormat="1" spans="1:18">
      <c r="A75" s="77" t="s">
        <v>30</v>
      </c>
      <c r="B75" s="78"/>
      <c r="C75" s="78"/>
      <c r="D75" s="29">
        <v>600</v>
      </c>
      <c r="E75" s="22">
        <f>SUM(E71:E74)</f>
        <v>18.1</v>
      </c>
      <c r="F75" s="22">
        <f>SUM(F71:F74)</f>
        <v>18.48</v>
      </c>
      <c r="G75" s="22">
        <f>SUM(G71:G74)</f>
        <v>80.325</v>
      </c>
      <c r="H75" s="22">
        <f t="shared" ref="H75:O75" si="8">SUM(H71:H74)</f>
        <v>559.18</v>
      </c>
      <c r="I75" s="22">
        <f t="shared" si="8"/>
        <v>404.355714285714</v>
      </c>
      <c r="J75" s="22">
        <f t="shared" si="8"/>
        <v>29.9809523809524</v>
      </c>
      <c r="K75" s="22">
        <f t="shared" si="8"/>
        <v>1.38190476190476</v>
      </c>
      <c r="L75" s="22">
        <f t="shared" si="8"/>
        <v>68.3819047619048</v>
      </c>
      <c r="M75" s="22">
        <f t="shared" si="8"/>
        <v>0.14952380952381</v>
      </c>
      <c r="N75" s="22">
        <f t="shared" si="8"/>
        <v>28.94</v>
      </c>
      <c r="O75" s="52">
        <f t="shared" si="8"/>
        <v>104.46</v>
      </c>
      <c r="P75" s="66"/>
      <c r="Q75" s="74"/>
      <c r="R75" s="74"/>
    </row>
    <row r="76" s="3" customFormat="1" spans="1:18">
      <c r="A76" s="41" t="s">
        <v>31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66"/>
      <c r="Q76" s="74"/>
      <c r="R76" s="74"/>
    </row>
    <row r="77" s="3" customFormat="1" spans="1:18">
      <c r="A77" s="27" t="s">
        <v>66</v>
      </c>
      <c r="B77" s="39">
        <v>2017</v>
      </c>
      <c r="C77" s="39">
        <v>99</v>
      </c>
      <c r="D77" s="39">
        <v>250</v>
      </c>
      <c r="E77" s="22">
        <v>2.1</v>
      </c>
      <c r="F77" s="22">
        <v>7.475</v>
      </c>
      <c r="G77" s="22">
        <v>11.6875</v>
      </c>
      <c r="H77" s="22">
        <v>122.9625</v>
      </c>
      <c r="I77" s="22">
        <v>32.1375</v>
      </c>
      <c r="J77" s="22">
        <v>28.775</v>
      </c>
      <c r="K77" s="22">
        <v>0.0875</v>
      </c>
      <c r="L77" s="22">
        <v>86.8375</v>
      </c>
      <c r="M77" s="22">
        <v>0.1375</v>
      </c>
      <c r="N77" s="22">
        <v>8.5</v>
      </c>
      <c r="O77" s="52">
        <v>0</v>
      </c>
      <c r="P77" s="66"/>
      <c r="Q77" s="74"/>
      <c r="R77" s="74"/>
    </row>
    <row r="78" s="3" customFormat="1" spans="1:18">
      <c r="A78" s="31" t="s">
        <v>33</v>
      </c>
      <c r="B78" s="24">
        <v>2017</v>
      </c>
      <c r="C78" s="24">
        <v>288</v>
      </c>
      <c r="D78" s="20">
        <v>10</v>
      </c>
      <c r="E78" s="22">
        <v>2.11</v>
      </c>
      <c r="F78" s="22">
        <v>1.36</v>
      </c>
      <c r="G78" s="22">
        <v>0</v>
      </c>
      <c r="H78" s="22">
        <v>20.67</v>
      </c>
      <c r="I78" s="22">
        <v>3.9</v>
      </c>
      <c r="J78" s="22">
        <v>2</v>
      </c>
      <c r="K78" s="22">
        <v>0.18</v>
      </c>
      <c r="L78" s="22">
        <v>14.3</v>
      </c>
      <c r="M78" s="22">
        <v>0.04</v>
      </c>
      <c r="N78" s="22">
        <v>0</v>
      </c>
      <c r="O78" s="52">
        <v>2.28</v>
      </c>
      <c r="P78" s="66"/>
      <c r="Q78" s="74"/>
      <c r="R78" s="74"/>
    </row>
    <row r="79" s="3" customFormat="1" spans="1:18">
      <c r="A79" s="31" t="s">
        <v>67</v>
      </c>
      <c r="B79" s="24">
        <v>2011</v>
      </c>
      <c r="C79" s="24">
        <v>101</v>
      </c>
      <c r="D79" s="20">
        <v>260</v>
      </c>
      <c r="E79" s="22">
        <v>1.6</v>
      </c>
      <c r="F79" s="22">
        <v>2.17</v>
      </c>
      <c r="G79" s="22">
        <v>9.69</v>
      </c>
      <c r="H79" s="22">
        <v>90.3</v>
      </c>
      <c r="I79" s="22">
        <v>38.08</v>
      </c>
      <c r="J79" s="22">
        <v>35.3</v>
      </c>
      <c r="K79" s="22">
        <v>2.03</v>
      </c>
      <c r="L79" s="22">
        <v>87.18</v>
      </c>
      <c r="M79" s="22">
        <v>0.08</v>
      </c>
      <c r="N79" s="22">
        <v>5.81</v>
      </c>
      <c r="O79" s="52">
        <v>0</v>
      </c>
      <c r="P79" s="66"/>
      <c r="Q79" s="74"/>
      <c r="R79" s="74"/>
    </row>
    <row r="80" s="3" customFormat="1" spans="1:18">
      <c r="A80" s="45" t="s">
        <v>68</v>
      </c>
      <c r="B80" s="24">
        <v>2017</v>
      </c>
      <c r="C80" s="24" t="s">
        <v>69</v>
      </c>
      <c r="D80" s="39">
        <v>100</v>
      </c>
      <c r="E80" s="22">
        <v>13.58</v>
      </c>
      <c r="F80" s="22">
        <v>10.58</v>
      </c>
      <c r="G80" s="22">
        <f>11.66*100/90</f>
        <v>12.9555555555556</v>
      </c>
      <c r="H80" s="22">
        <v>198.12</v>
      </c>
      <c r="I80" s="22">
        <v>182.088888888888</v>
      </c>
      <c r="J80" s="22">
        <v>20.8555555555556</v>
      </c>
      <c r="K80" s="22">
        <v>1.2</v>
      </c>
      <c r="L80" s="22">
        <v>47.9888888888889</v>
      </c>
      <c r="M80" s="22">
        <v>0.111111111111111</v>
      </c>
      <c r="N80" s="22">
        <v>0.111111111111111</v>
      </c>
      <c r="O80" s="52">
        <v>268.5</v>
      </c>
      <c r="P80" s="66"/>
      <c r="Q80" s="74"/>
      <c r="R80" s="74"/>
    </row>
    <row r="81" s="3" customFormat="1" spans="1:18">
      <c r="A81" s="31" t="s">
        <v>70</v>
      </c>
      <c r="B81" s="24">
        <v>2017</v>
      </c>
      <c r="C81" s="24">
        <v>125</v>
      </c>
      <c r="D81" s="39">
        <v>200</v>
      </c>
      <c r="E81" s="22">
        <v>3.81333333333333</v>
      </c>
      <c r="F81" s="22">
        <v>5.76</v>
      </c>
      <c r="G81" s="22">
        <v>30.68</v>
      </c>
      <c r="H81" s="22">
        <v>189.8</v>
      </c>
      <c r="I81" s="22">
        <v>19.52</v>
      </c>
      <c r="J81" s="22">
        <v>25.7733333333333</v>
      </c>
      <c r="K81" s="22">
        <v>1.54666666666667</v>
      </c>
      <c r="L81" s="22">
        <v>146.63</v>
      </c>
      <c r="M81" s="22">
        <v>0.02</v>
      </c>
      <c r="N81" s="22">
        <v>28</v>
      </c>
      <c r="O81" s="52">
        <v>28</v>
      </c>
      <c r="P81" s="66"/>
      <c r="Q81" s="74"/>
      <c r="R81" s="74"/>
    </row>
    <row r="82" s="3" customFormat="1" spans="1:18">
      <c r="A82" s="27" t="s">
        <v>71</v>
      </c>
      <c r="B82" s="39">
        <v>2017</v>
      </c>
      <c r="C82" s="39">
        <v>52</v>
      </c>
      <c r="D82" s="39">
        <v>100</v>
      </c>
      <c r="E82" s="22">
        <v>1.43333333333333</v>
      </c>
      <c r="F82" s="22">
        <v>6.08333333333333</v>
      </c>
      <c r="G82" s="22">
        <v>8.36666666666667</v>
      </c>
      <c r="H82" s="22">
        <v>93.9</v>
      </c>
      <c r="I82" s="22">
        <v>35.15</v>
      </c>
      <c r="J82" s="22">
        <v>20.9</v>
      </c>
      <c r="K82" s="22">
        <v>1.33333333333333</v>
      </c>
      <c r="L82" s="87">
        <v>40.9666666666667</v>
      </c>
      <c r="M82" s="22">
        <v>0.0166666666666667</v>
      </c>
      <c r="N82" s="22">
        <v>3.42</v>
      </c>
      <c r="O82" s="68">
        <v>0</v>
      </c>
      <c r="P82" s="66"/>
      <c r="Q82" s="74"/>
      <c r="R82" s="74"/>
    </row>
    <row r="83" s="3" customFormat="1" spans="1:18">
      <c r="A83" s="27" t="s">
        <v>72</v>
      </c>
      <c r="B83" s="39">
        <v>2017</v>
      </c>
      <c r="C83" s="39">
        <v>342</v>
      </c>
      <c r="D83" s="39">
        <v>200</v>
      </c>
      <c r="E83" s="22">
        <v>0.2</v>
      </c>
      <c r="F83" s="22">
        <v>0.2</v>
      </c>
      <c r="G83" s="22">
        <v>22.3</v>
      </c>
      <c r="H83" s="22">
        <v>110</v>
      </c>
      <c r="I83" s="22">
        <v>12</v>
      </c>
      <c r="J83" s="22">
        <v>0</v>
      </c>
      <c r="K83" s="22">
        <v>0.8</v>
      </c>
      <c r="L83" s="22">
        <v>2.4</v>
      </c>
      <c r="M83" s="22">
        <v>0.02</v>
      </c>
      <c r="N83" s="22">
        <v>0</v>
      </c>
      <c r="O83" s="52">
        <v>0</v>
      </c>
      <c r="P83" s="66"/>
      <c r="Q83" s="74"/>
      <c r="R83" s="74"/>
    </row>
    <row r="84" s="3" customFormat="1" spans="1:18">
      <c r="A84" s="31" t="s">
        <v>38</v>
      </c>
      <c r="B84" s="24" t="s">
        <v>27</v>
      </c>
      <c r="C84" s="24" t="s">
        <v>27</v>
      </c>
      <c r="D84" s="20">
        <v>20</v>
      </c>
      <c r="E84" s="22">
        <v>1.58</v>
      </c>
      <c r="F84" s="22">
        <v>0.2</v>
      </c>
      <c r="G84" s="22">
        <v>9.66</v>
      </c>
      <c r="H84" s="22">
        <v>46.76</v>
      </c>
      <c r="I84" s="22">
        <v>4.6</v>
      </c>
      <c r="J84" s="22">
        <v>6.6</v>
      </c>
      <c r="K84" s="22">
        <v>0.22</v>
      </c>
      <c r="L84" s="22">
        <v>17.4</v>
      </c>
      <c r="M84" s="22">
        <v>0.08</v>
      </c>
      <c r="N84" s="22">
        <v>0</v>
      </c>
      <c r="O84" s="52">
        <v>0</v>
      </c>
      <c r="P84" s="66"/>
      <c r="Q84" s="74"/>
      <c r="R84" s="74"/>
    </row>
    <row r="85" s="3" customFormat="1" spans="1:18">
      <c r="A85" s="31" t="s">
        <v>39</v>
      </c>
      <c r="B85" s="24" t="s">
        <v>27</v>
      </c>
      <c r="C85" s="24" t="s">
        <v>27</v>
      </c>
      <c r="D85" s="24">
        <v>40</v>
      </c>
      <c r="E85" s="22">
        <v>2.24</v>
      </c>
      <c r="F85" s="22">
        <v>0.44</v>
      </c>
      <c r="G85" s="22">
        <v>19.76</v>
      </c>
      <c r="H85" s="22">
        <v>91.96</v>
      </c>
      <c r="I85" s="22">
        <v>9.2</v>
      </c>
      <c r="J85" s="22">
        <v>10</v>
      </c>
      <c r="K85" s="22">
        <v>1.24</v>
      </c>
      <c r="L85" s="22">
        <v>42.4</v>
      </c>
      <c r="M85" s="22">
        <v>0.04</v>
      </c>
      <c r="N85" s="22">
        <v>0</v>
      </c>
      <c r="O85" s="52">
        <v>0</v>
      </c>
      <c r="P85" s="66"/>
      <c r="Q85" s="74"/>
      <c r="R85" s="74"/>
    </row>
    <row r="86" s="3" customFormat="1" spans="1:18">
      <c r="A86" s="77" t="s">
        <v>30</v>
      </c>
      <c r="B86" s="78"/>
      <c r="C86" s="78"/>
      <c r="D86" s="39">
        <f>SUM(D77:D85)</f>
        <v>1180</v>
      </c>
      <c r="E86" s="22">
        <f t="shared" ref="E86:O86" si="9">SUM(E77:E85)</f>
        <v>28.6566666666667</v>
      </c>
      <c r="F86" s="22">
        <f t="shared" si="9"/>
        <v>34.2683333333333</v>
      </c>
      <c r="G86" s="22">
        <f t="shared" si="9"/>
        <v>125.099722222222</v>
      </c>
      <c r="H86" s="22">
        <f t="shared" si="9"/>
        <v>964.4725</v>
      </c>
      <c r="I86" s="22">
        <f t="shared" si="9"/>
        <v>336.676388888888</v>
      </c>
      <c r="J86" s="22">
        <f t="shared" si="9"/>
        <v>150.203888888889</v>
      </c>
      <c r="K86" s="22">
        <f t="shared" si="9"/>
        <v>8.6375</v>
      </c>
      <c r="L86" s="22">
        <f t="shared" si="9"/>
        <v>486.103055555555</v>
      </c>
      <c r="M86" s="22">
        <f t="shared" si="9"/>
        <v>0.545277777777778</v>
      </c>
      <c r="N86" s="22">
        <f t="shared" si="9"/>
        <v>45.8411111111111</v>
      </c>
      <c r="O86" s="52">
        <f t="shared" si="9"/>
        <v>298.78</v>
      </c>
      <c r="P86" s="66"/>
      <c r="Q86" s="74"/>
      <c r="R86" s="74"/>
    </row>
    <row r="87" s="4" customFormat="1" spans="1:18">
      <c r="A87" s="40" t="s">
        <v>41</v>
      </c>
      <c r="B87" s="41"/>
      <c r="C87" s="41"/>
      <c r="D87" s="46">
        <f t="shared" ref="D87:I87" si="10">D86+D75</f>
        <v>1780</v>
      </c>
      <c r="E87" s="42">
        <f t="shared" si="10"/>
        <v>46.7566666666667</v>
      </c>
      <c r="F87" s="42">
        <f t="shared" si="10"/>
        <v>52.7483333333333</v>
      </c>
      <c r="G87" s="42">
        <f t="shared" si="10"/>
        <v>205.424722222222</v>
      </c>
      <c r="H87" s="42">
        <f t="shared" si="10"/>
        <v>1523.6525</v>
      </c>
      <c r="I87" s="42">
        <f t="shared" si="10"/>
        <v>741.032103174602</v>
      </c>
      <c r="J87" s="42">
        <f t="shared" ref="J87:O87" si="11">J86+J75</f>
        <v>180.184841269841</v>
      </c>
      <c r="K87" s="42">
        <f t="shared" si="11"/>
        <v>10.0194047619048</v>
      </c>
      <c r="L87" s="42">
        <f t="shared" si="11"/>
        <v>554.48496031746</v>
      </c>
      <c r="M87" s="42">
        <f t="shared" si="11"/>
        <v>0.694801587301587</v>
      </c>
      <c r="N87" s="42">
        <f t="shared" si="11"/>
        <v>74.7811111111111</v>
      </c>
      <c r="O87" s="62">
        <f t="shared" si="11"/>
        <v>403.24</v>
      </c>
      <c r="P87" s="69"/>
      <c r="Q87" s="57"/>
      <c r="R87" s="57"/>
    </row>
    <row r="88" s="2" customFormat="1" spans="1:18">
      <c r="A88" s="47" t="s">
        <v>73</v>
      </c>
      <c r="B88" s="79"/>
      <c r="C88" s="79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57"/>
      <c r="Q88" s="72"/>
      <c r="R88" s="72"/>
    </row>
    <row r="89" s="2" customFormat="1" ht="12.6" customHeight="1" spans="1:18">
      <c r="A89" s="80" t="s">
        <v>23</v>
      </c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57"/>
      <c r="Q89" s="72"/>
      <c r="R89" s="72"/>
    </row>
    <row r="90" ht="26.4" customHeight="1" spans="1:18">
      <c r="A90" s="31" t="s">
        <v>111</v>
      </c>
      <c r="B90" s="24">
        <v>2017</v>
      </c>
      <c r="C90" s="39">
        <v>183</v>
      </c>
      <c r="D90" s="39">
        <v>260</v>
      </c>
      <c r="E90" s="22">
        <v>9.83</v>
      </c>
      <c r="F90" s="22">
        <f>11.58*250/200</f>
        <v>14.475</v>
      </c>
      <c r="G90" s="22">
        <f>7.86*250/200</f>
        <v>9.825</v>
      </c>
      <c r="H90" s="22">
        <v>206.44</v>
      </c>
      <c r="I90" s="22">
        <v>239.819047619048</v>
      </c>
      <c r="J90" s="22">
        <v>53.3619047619048</v>
      </c>
      <c r="K90" s="22">
        <v>1.63428571428571</v>
      </c>
      <c r="L90" s="22">
        <v>182.866666666667</v>
      </c>
      <c r="M90" s="22">
        <v>0.185714285714286</v>
      </c>
      <c r="N90" s="22">
        <v>0</v>
      </c>
      <c r="O90" s="22">
        <v>28.2285714285714</v>
      </c>
      <c r="P90" s="66" t="s">
        <v>73</v>
      </c>
      <c r="Q90" s="73"/>
      <c r="R90" s="73"/>
    </row>
    <row r="91" spans="1:18">
      <c r="A91" s="27" t="s">
        <v>26</v>
      </c>
      <c r="B91" s="20" t="s">
        <v>27</v>
      </c>
      <c r="C91" s="20" t="s">
        <v>27</v>
      </c>
      <c r="D91" s="29">
        <v>60</v>
      </c>
      <c r="E91" s="22">
        <v>4.74</v>
      </c>
      <c r="F91" s="22">
        <v>0.6</v>
      </c>
      <c r="G91" s="22">
        <v>28.98</v>
      </c>
      <c r="H91" s="22">
        <v>140.28</v>
      </c>
      <c r="I91" s="22">
        <v>13.8</v>
      </c>
      <c r="J91" s="22">
        <v>19.8</v>
      </c>
      <c r="K91" s="22">
        <v>0.66</v>
      </c>
      <c r="L91" s="22">
        <v>52.2</v>
      </c>
      <c r="M91" s="22">
        <v>0.1</v>
      </c>
      <c r="N91" s="22">
        <v>0</v>
      </c>
      <c r="O91" s="52">
        <v>0</v>
      </c>
      <c r="P91" s="66"/>
      <c r="Q91" s="73"/>
      <c r="R91" s="73"/>
    </row>
    <row r="92" spans="1:18">
      <c r="A92" s="82" t="s">
        <v>75</v>
      </c>
      <c r="B92" s="29">
        <v>2017</v>
      </c>
      <c r="C92" s="76">
        <v>382</v>
      </c>
      <c r="D92" s="29">
        <v>200</v>
      </c>
      <c r="E92" s="22">
        <v>3.52</v>
      </c>
      <c r="F92" s="22">
        <v>3.72</v>
      </c>
      <c r="G92" s="22">
        <v>25.49</v>
      </c>
      <c r="H92" s="22">
        <v>145.2</v>
      </c>
      <c r="I92" s="22">
        <v>122</v>
      </c>
      <c r="J92" s="22">
        <v>14</v>
      </c>
      <c r="K92" s="22">
        <v>0.56</v>
      </c>
      <c r="L92" s="22">
        <v>39</v>
      </c>
      <c r="M92" s="22">
        <v>0.04</v>
      </c>
      <c r="N92" s="22">
        <v>1.3</v>
      </c>
      <c r="O92" s="52">
        <v>0.0114</v>
      </c>
      <c r="P92" s="66"/>
      <c r="Q92" s="73"/>
      <c r="R92" s="73"/>
    </row>
    <row r="93" spans="1:18">
      <c r="A93" s="83" t="s">
        <v>29</v>
      </c>
      <c r="B93" s="20" t="s">
        <v>27</v>
      </c>
      <c r="C93" s="20" t="s">
        <v>27</v>
      </c>
      <c r="D93" s="20">
        <v>30</v>
      </c>
      <c r="E93" s="39">
        <v>0.15</v>
      </c>
      <c r="F93" s="39">
        <v>0</v>
      </c>
      <c r="G93" s="39">
        <v>21.48</v>
      </c>
      <c r="H93" s="39">
        <v>86.52</v>
      </c>
      <c r="I93" s="39">
        <v>3.6</v>
      </c>
      <c r="J93" s="39">
        <v>2.7</v>
      </c>
      <c r="K93" s="39">
        <v>0.12</v>
      </c>
      <c r="L93" s="39">
        <v>5.4</v>
      </c>
      <c r="M93" s="39">
        <v>0</v>
      </c>
      <c r="N93" s="39">
        <v>0.72</v>
      </c>
      <c r="O93" s="68">
        <v>0</v>
      </c>
      <c r="P93" s="66"/>
      <c r="Q93" s="73"/>
      <c r="R93" s="73"/>
    </row>
    <row r="94" spans="1:18">
      <c r="A94" s="31" t="s">
        <v>30</v>
      </c>
      <c r="B94" s="24"/>
      <c r="C94" s="24"/>
      <c r="D94" s="29">
        <f t="shared" ref="D94:O94" si="12">SUM(D90:D93)</f>
        <v>550</v>
      </c>
      <c r="E94" s="22">
        <f t="shared" si="12"/>
        <v>18.24</v>
      </c>
      <c r="F94" s="22">
        <f t="shared" si="12"/>
        <v>18.795</v>
      </c>
      <c r="G94" s="22">
        <f t="shared" si="12"/>
        <v>85.775</v>
      </c>
      <c r="H94" s="22">
        <f t="shared" si="12"/>
        <v>578.44</v>
      </c>
      <c r="I94" s="22">
        <f t="shared" si="12"/>
        <v>379.219047619048</v>
      </c>
      <c r="J94" s="22">
        <f t="shared" si="12"/>
        <v>89.8619047619048</v>
      </c>
      <c r="K94" s="22">
        <f t="shared" si="12"/>
        <v>2.97428571428571</v>
      </c>
      <c r="L94" s="22">
        <f t="shared" si="12"/>
        <v>279.466666666667</v>
      </c>
      <c r="M94" s="22">
        <f t="shared" si="12"/>
        <v>0.325714285714286</v>
      </c>
      <c r="N94" s="22">
        <f t="shared" si="12"/>
        <v>2.02</v>
      </c>
      <c r="O94" s="52">
        <f t="shared" si="12"/>
        <v>28.2399714285714</v>
      </c>
      <c r="P94" s="66"/>
      <c r="Q94" s="73"/>
      <c r="R94" s="73"/>
    </row>
    <row r="95" ht="21.6" customHeight="1" spans="1:18">
      <c r="A95" s="44" t="s">
        <v>31</v>
      </c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64"/>
      <c r="P95" s="66"/>
      <c r="Q95" s="73"/>
      <c r="R95" s="73"/>
    </row>
    <row r="96" spans="1:18">
      <c r="A96" s="31" t="s">
        <v>76</v>
      </c>
      <c r="B96" s="24">
        <v>2017</v>
      </c>
      <c r="C96" s="84">
        <v>96</v>
      </c>
      <c r="D96" s="39">
        <v>260</v>
      </c>
      <c r="E96" s="22">
        <f>2.48*250/200</f>
        <v>3.1</v>
      </c>
      <c r="F96" s="22">
        <v>8.28</v>
      </c>
      <c r="G96" s="22">
        <f>24.08*250/200</f>
        <v>30.1</v>
      </c>
      <c r="H96" s="22">
        <v>199.79</v>
      </c>
      <c r="I96" s="22">
        <v>26.1980952380952</v>
      </c>
      <c r="J96" s="22">
        <v>25.6533333333333</v>
      </c>
      <c r="K96" s="22">
        <v>0.965714285714286</v>
      </c>
      <c r="L96" s="22">
        <v>71.2647619047619</v>
      </c>
      <c r="M96" s="22">
        <v>0.0990476190476191</v>
      </c>
      <c r="N96" s="22">
        <v>7.46571428571429</v>
      </c>
      <c r="O96" s="52">
        <v>0</v>
      </c>
      <c r="P96" s="66"/>
      <c r="Q96" s="73"/>
      <c r="R96" s="73"/>
    </row>
    <row r="97" spans="1:18">
      <c r="A97" s="31" t="s">
        <v>33</v>
      </c>
      <c r="B97" s="24">
        <v>2017</v>
      </c>
      <c r="C97" s="24">
        <v>288</v>
      </c>
      <c r="D97" s="20">
        <v>10</v>
      </c>
      <c r="E97" s="22">
        <v>2.11</v>
      </c>
      <c r="F97" s="22">
        <v>1.36</v>
      </c>
      <c r="G97" s="22">
        <v>0</v>
      </c>
      <c r="H97" s="22">
        <v>20.67</v>
      </c>
      <c r="I97" s="22">
        <v>3.9</v>
      </c>
      <c r="J97" s="22">
        <v>2</v>
      </c>
      <c r="K97" s="22">
        <v>0.18</v>
      </c>
      <c r="L97" s="22">
        <v>14.3</v>
      </c>
      <c r="M97" s="22">
        <v>0.04</v>
      </c>
      <c r="N97" s="22">
        <v>0</v>
      </c>
      <c r="O97" s="52">
        <v>2.28</v>
      </c>
      <c r="P97" s="66"/>
      <c r="Q97" s="73"/>
      <c r="R97" s="73"/>
    </row>
    <row r="98" spans="1:18">
      <c r="A98" s="31" t="s">
        <v>112</v>
      </c>
      <c r="B98" s="24">
        <v>2017</v>
      </c>
      <c r="C98" s="24">
        <v>88</v>
      </c>
      <c r="D98" s="20">
        <v>260</v>
      </c>
      <c r="E98" s="22">
        <v>9.4</v>
      </c>
      <c r="F98" s="22">
        <v>4.2</v>
      </c>
      <c r="G98" s="22">
        <v>23.7</v>
      </c>
      <c r="H98" s="22">
        <v>200.8</v>
      </c>
      <c r="I98" s="22">
        <v>40.77</v>
      </c>
      <c r="J98" s="22">
        <v>26.64</v>
      </c>
      <c r="K98" s="22">
        <v>0.99</v>
      </c>
      <c r="L98" s="22">
        <v>56.91</v>
      </c>
      <c r="M98" s="22">
        <v>0.09</v>
      </c>
      <c r="N98" s="22">
        <v>22.17</v>
      </c>
      <c r="O98" s="52">
        <v>0</v>
      </c>
      <c r="P98" s="66"/>
      <c r="Q98" s="73"/>
      <c r="R98" s="73"/>
    </row>
    <row r="99" spans="1:18">
      <c r="A99" s="31" t="s">
        <v>49</v>
      </c>
      <c r="B99" s="20">
        <v>2017</v>
      </c>
      <c r="C99" s="24" t="s">
        <v>50</v>
      </c>
      <c r="D99" s="39">
        <v>100</v>
      </c>
      <c r="E99" s="22">
        <f>11.99*100/90</f>
        <v>13.3222222222222</v>
      </c>
      <c r="F99" s="22">
        <v>12.06</v>
      </c>
      <c r="G99" s="22">
        <f>8.67*100/90</f>
        <v>9.63333333333333</v>
      </c>
      <c r="H99" s="22">
        <v>209.9</v>
      </c>
      <c r="I99" s="22">
        <v>208.111111111111</v>
      </c>
      <c r="J99" s="22">
        <v>23.4444444444444</v>
      </c>
      <c r="K99" s="22">
        <v>0.655555555555556</v>
      </c>
      <c r="L99" s="22">
        <v>86.3333333333333</v>
      </c>
      <c r="M99" s="22">
        <v>0.0666666666666667</v>
      </c>
      <c r="N99" s="22">
        <v>0.911111111111111</v>
      </c>
      <c r="O99" s="52">
        <v>329.055555555556</v>
      </c>
      <c r="P99" s="66"/>
      <c r="Q99" s="73"/>
      <c r="R99" s="73"/>
    </row>
    <row r="100" customHeight="1" spans="1:18">
      <c r="A100" s="27" t="s">
        <v>78</v>
      </c>
      <c r="B100" s="39">
        <v>2017</v>
      </c>
      <c r="C100" s="39">
        <v>312</v>
      </c>
      <c r="D100" s="39">
        <v>200</v>
      </c>
      <c r="E100" s="22">
        <v>4.08</v>
      </c>
      <c r="F100" s="22">
        <v>6.4</v>
      </c>
      <c r="G100" s="22">
        <v>27.2666666666667</v>
      </c>
      <c r="H100" s="22">
        <v>183</v>
      </c>
      <c r="I100" s="22">
        <v>49.3066666666667</v>
      </c>
      <c r="J100" s="22">
        <v>37</v>
      </c>
      <c r="K100" s="22">
        <v>1.34666666666667</v>
      </c>
      <c r="L100" s="22">
        <v>75.4666666666667</v>
      </c>
      <c r="M100" s="22">
        <v>0.14</v>
      </c>
      <c r="N100" s="22">
        <v>12.4933333333333</v>
      </c>
      <c r="O100" s="52">
        <v>34</v>
      </c>
      <c r="P100" s="66"/>
      <c r="Q100" s="73"/>
      <c r="R100" s="73"/>
    </row>
    <row r="101" spans="1:18">
      <c r="A101" s="27" t="s">
        <v>79</v>
      </c>
      <c r="B101" s="39">
        <v>2017</v>
      </c>
      <c r="C101" s="39">
        <v>47</v>
      </c>
      <c r="D101" s="39">
        <v>100</v>
      </c>
      <c r="E101" s="22">
        <v>1.71666666666667</v>
      </c>
      <c r="F101" s="22">
        <v>5.01666666666667</v>
      </c>
      <c r="G101" s="22">
        <v>8.5</v>
      </c>
      <c r="H101" s="22">
        <v>86.0333333333333</v>
      </c>
      <c r="I101" s="22">
        <v>52.45</v>
      </c>
      <c r="J101" s="22">
        <v>16.0833333333333</v>
      </c>
      <c r="K101" s="22">
        <v>0.666666666666667</v>
      </c>
      <c r="L101" s="22">
        <v>34.0833333333333</v>
      </c>
      <c r="M101" s="22">
        <v>0.0166666666666667</v>
      </c>
      <c r="N101" s="22">
        <v>19.8833333333333</v>
      </c>
      <c r="O101" s="52">
        <v>0</v>
      </c>
      <c r="P101" s="66"/>
      <c r="Q101" s="73"/>
      <c r="R101" s="73"/>
    </row>
    <row r="102" spans="1:18">
      <c r="A102" s="27" t="s">
        <v>28</v>
      </c>
      <c r="B102" s="39">
        <v>2017</v>
      </c>
      <c r="C102" s="39">
        <v>376</v>
      </c>
      <c r="D102" s="29">
        <v>200</v>
      </c>
      <c r="E102" s="22">
        <v>0.2</v>
      </c>
      <c r="F102" s="22">
        <v>0</v>
      </c>
      <c r="G102" s="22">
        <v>14</v>
      </c>
      <c r="H102" s="22">
        <v>28</v>
      </c>
      <c r="I102" s="22">
        <v>6</v>
      </c>
      <c r="J102" s="22">
        <v>0</v>
      </c>
      <c r="K102" s="22">
        <v>0.4</v>
      </c>
      <c r="L102" s="22">
        <v>0</v>
      </c>
      <c r="M102" s="22">
        <v>0</v>
      </c>
      <c r="N102" s="22">
        <v>0</v>
      </c>
      <c r="O102" s="22">
        <v>0</v>
      </c>
      <c r="P102" s="66"/>
      <c r="Q102" s="73"/>
      <c r="R102" s="73"/>
    </row>
    <row r="103" spans="1:18">
      <c r="A103" s="31" t="s">
        <v>38</v>
      </c>
      <c r="B103" s="24" t="s">
        <v>27</v>
      </c>
      <c r="C103" s="24" t="s">
        <v>27</v>
      </c>
      <c r="D103" s="20">
        <v>20</v>
      </c>
      <c r="E103" s="22">
        <v>1.58</v>
      </c>
      <c r="F103" s="22">
        <v>0.2</v>
      </c>
      <c r="G103" s="22">
        <v>9.66</v>
      </c>
      <c r="H103" s="22">
        <v>46.76</v>
      </c>
      <c r="I103" s="22">
        <v>4.6</v>
      </c>
      <c r="J103" s="22">
        <v>6.6</v>
      </c>
      <c r="K103" s="22">
        <v>0.22</v>
      </c>
      <c r="L103" s="22">
        <v>17.4</v>
      </c>
      <c r="M103" s="22">
        <v>0.08</v>
      </c>
      <c r="N103" s="22">
        <v>0</v>
      </c>
      <c r="O103" s="52">
        <v>0</v>
      </c>
      <c r="P103" s="66"/>
      <c r="Q103" s="73"/>
      <c r="R103" s="73"/>
    </row>
    <row r="104" spans="1:18">
      <c r="A104" s="31" t="s">
        <v>39</v>
      </c>
      <c r="B104" s="24" t="s">
        <v>27</v>
      </c>
      <c r="C104" s="24" t="s">
        <v>27</v>
      </c>
      <c r="D104" s="24">
        <v>40</v>
      </c>
      <c r="E104" s="22">
        <v>2.24</v>
      </c>
      <c r="F104" s="22">
        <v>0.44</v>
      </c>
      <c r="G104" s="22">
        <v>19.76</v>
      </c>
      <c r="H104" s="22">
        <v>91.96</v>
      </c>
      <c r="I104" s="22">
        <v>9.2</v>
      </c>
      <c r="J104" s="22">
        <v>10</v>
      </c>
      <c r="K104" s="22">
        <v>1.24</v>
      </c>
      <c r="L104" s="22">
        <v>42.4</v>
      </c>
      <c r="M104" s="22">
        <v>0.04</v>
      </c>
      <c r="N104" s="22">
        <v>0</v>
      </c>
      <c r="O104" s="52">
        <v>0</v>
      </c>
      <c r="P104" s="66"/>
      <c r="Q104" s="73"/>
      <c r="R104" s="73"/>
    </row>
    <row r="105" spans="1:18">
      <c r="A105" s="31" t="s">
        <v>30</v>
      </c>
      <c r="B105" s="24"/>
      <c r="C105" s="24"/>
      <c r="D105" s="39">
        <f t="shared" ref="D105:O105" si="13">SUM(D96:D104)</f>
        <v>1190</v>
      </c>
      <c r="E105" s="22">
        <f t="shared" si="13"/>
        <v>37.7488888888889</v>
      </c>
      <c r="F105" s="22">
        <f t="shared" si="13"/>
        <v>37.9566666666667</v>
      </c>
      <c r="G105" s="22">
        <f t="shared" si="13"/>
        <v>142.62</v>
      </c>
      <c r="H105" s="22">
        <f t="shared" si="13"/>
        <v>1066.91333333333</v>
      </c>
      <c r="I105" s="22">
        <f t="shared" si="13"/>
        <v>400.535873015873</v>
      </c>
      <c r="J105" s="22">
        <f t="shared" si="13"/>
        <v>147.421111111111</v>
      </c>
      <c r="K105" s="22">
        <f t="shared" si="13"/>
        <v>6.66460317460318</v>
      </c>
      <c r="L105" s="22">
        <f t="shared" si="13"/>
        <v>398.158095238095</v>
      </c>
      <c r="M105" s="22">
        <f t="shared" si="13"/>
        <v>0.572380952380952</v>
      </c>
      <c r="N105" s="22">
        <f t="shared" si="13"/>
        <v>62.9234920634921</v>
      </c>
      <c r="O105" s="22">
        <f t="shared" si="13"/>
        <v>365.335555555556</v>
      </c>
      <c r="P105" s="66"/>
      <c r="Q105" s="73"/>
      <c r="R105" s="73"/>
    </row>
    <row r="106" s="2" customFormat="1" spans="1:18">
      <c r="A106" s="40" t="s">
        <v>41</v>
      </c>
      <c r="B106" s="41"/>
      <c r="C106" s="41"/>
      <c r="D106" s="46">
        <f t="shared" ref="D106:O106" si="14">D105+D94</f>
        <v>1740</v>
      </c>
      <c r="E106" s="42">
        <f t="shared" si="14"/>
        <v>55.9888888888889</v>
      </c>
      <c r="F106" s="42">
        <f t="shared" si="14"/>
        <v>56.7516666666667</v>
      </c>
      <c r="G106" s="42">
        <f t="shared" si="14"/>
        <v>228.395</v>
      </c>
      <c r="H106" s="42">
        <f t="shared" si="14"/>
        <v>1645.35333333333</v>
      </c>
      <c r="I106" s="42">
        <f t="shared" si="14"/>
        <v>779.754920634921</v>
      </c>
      <c r="J106" s="42">
        <f t="shared" si="14"/>
        <v>237.283015873016</v>
      </c>
      <c r="K106" s="42">
        <f t="shared" si="14"/>
        <v>9.63888888888889</v>
      </c>
      <c r="L106" s="42">
        <f t="shared" si="14"/>
        <v>677.624761904762</v>
      </c>
      <c r="M106" s="42">
        <f t="shared" si="14"/>
        <v>0.898095238095238</v>
      </c>
      <c r="N106" s="42">
        <f t="shared" si="14"/>
        <v>64.9434920634921</v>
      </c>
      <c r="O106" s="42">
        <f t="shared" si="14"/>
        <v>393.575526984127</v>
      </c>
      <c r="P106" s="69"/>
      <c r="Q106" s="72"/>
      <c r="R106" s="72"/>
    </row>
    <row r="107" s="4" customFormat="1" spans="1:18">
      <c r="A107" s="44" t="s">
        <v>113</v>
      </c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64"/>
      <c r="P107" s="63"/>
      <c r="Q107" s="57"/>
      <c r="R107" s="57"/>
    </row>
    <row r="108" s="4" customFormat="1" spans="1:18">
      <c r="A108" s="44" t="s">
        <v>23</v>
      </c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64"/>
      <c r="P108" s="65" t="s">
        <v>113</v>
      </c>
      <c r="Q108" s="57"/>
      <c r="R108" s="57"/>
    </row>
    <row r="109" s="3" customFormat="1" customHeight="1" spans="1:18">
      <c r="A109" s="45" t="s">
        <v>43</v>
      </c>
      <c r="B109" s="24">
        <v>2017</v>
      </c>
      <c r="C109" s="24" t="s">
        <v>44</v>
      </c>
      <c r="D109" s="39">
        <v>230</v>
      </c>
      <c r="E109" s="22">
        <f>12.45*230/200</f>
        <v>14.3175</v>
      </c>
      <c r="F109" s="22">
        <v>10.97</v>
      </c>
      <c r="G109" s="22">
        <v>36.67</v>
      </c>
      <c r="H109" s="22">
        <v>293.5</v>
      </c>
      <c r="I109" s="22">
        <v>304.0715</v>
      </c>
      <c r="J109" s="22">
        <v>44.482</v>
      </c>
      <c r="K109" s="22">
        <v>1.0465</v>
      </c>
      <c r="L109" s="22">
        <v>380.604</v>
      </c>
      <c r="M109" s="22">
        <v>0.069</v>
      </c>
      <c r="N109" s="22">
        <v>0.23</v>
      </c>
      <c r="O109" s="52">
        <v>128.44</v>
      </c>
      <c r="P109" s="66"/>
      <c r="Q109" s="74"/>
      <c r="R109" s="74"/>
    </row>
    <row r="110" s="3" customFormat="1" spans="1:18">
      <c r="A110" s="27" t="s">
        <v>45</v>
      </c>
      <c r="B110" s="39">
        <v>2017</v>
      </c>
      <c r="C110" s="39">
        <v>379</v>
      </c>
      <c r="D110" s="39">
        <v>200</v>
      </c>
      <c r="E110" s="22">
        <v>3.6</v>
      </c>
      <c r="F110" s="22">
        <v>2.67</v>
      </c>
      <c r="G110" s="22">
        <v>29.2</v>
      </c>
      <c r="H110" s="22">
        <v>155.2</v>
      </c>
      <c r="I110" s="22">
        <v>158.67</v>
      </c>
      <c r="J110" s="22">
        <v>16.8</v>
      </c>
      <c r="K110" s="22">
        <v>0.22</v>
      </c>
      <c r="L110" s="22">
        <v>82.4</v>
      </c>
      <c r="M110" s="22">
        <v>0.07</v>
      </c>
      <c r="N110" s="22">
        <v>1.17</v>
      </c>
      <c r="O110" s="22">
        <v>6.84</v>
      </c>
      <c r="P110" s="66"/>
      <c r="Q110" s="74"/>
      <c r="R110" s="74"/>
    </row>
    <row r="111" s="3" customFormat="1" spans="1:18">
      <c r="A111" s="31" t="s">
        <v>114</v>
      </c>
      <c r="B111" s="32">
        <v>2017</v>
      </c>
      <c r="C111" s="32">
        <v>2</v>
      </c>
      <c r="D111" s="39">
        <v>50</v>
      </c>
      <c r="E111" s="22">
        <v>2.23</v>
      </c>
      <c r="F111" s="22">
        <v>3.53</v>
      </c>
      <c r="G111" s="22">
        <v>24.8</v>
      </c>
      <c r="H111" s="22">
        <v>140.4</v>
      </c>
      <c r="I111" s="22">
        <v>9.81</v>
      </c>
      <c r="J111" s="22">
        <v>10.17</v>
      </c>
      <c r="K111" s="22">
        <v>0.78</v>
      </c>
      <c r="L111" s="22">
        <v>26.46</v>
      </c>
      <c r="M111" s="22">
        <v>0.78</v>
      </c>
      <c r="N111" s="22">
        <v>0.05</v>
      </c>
      <c r="O111" s="22">
        <v>20.52</v>
      </c>
      <c r="P111" s="66"/>
      <c r="Q111" s="74"/>
      <c r="R111" s="74"/>
    </row>
    <row r="112" s="3" customFormat="1" spans="1:18">
      <c r="A112" s="27" t="s">
        <v>46</v>
      </c>
      <c r="B112" s="39">
        <v>2017</v>
      </c>
      <c r="C112" s="39">
        <v>338</v>
      </c>
      <c r="D112" s="29">
        <v>100</v>
      </c>
      <c r="E112" s="22">
        <v>0.8</v>
      </c>
      <c r="F112" s="22">
        <v>5.5</v>
      </c>
      <c r="G112" s="22">
        <v>4.3</v>
      </c>
      <c r="H112" s="22">
        <v>67.1</v>
      </c>
      <c r="I112" s="22">
        <v>17.3</v>
      </c>
      <c r="J112" s="22">
        <v>3.9</v>
      </c>
      <c r="K112" s="22">
        <v>0.2</v>
      </c>
      <c r="L112" s="22">
        <v>21.2</v>
      </c>
      <c r="M112" s="22">
        <v>0</v>
      </c>
      <c r="N112" s="22">
        <v>1.8</v>
      </c>
      <c r="O112" s="22">
        <v>0</v>
      </c>
      <c r="P112" s="66"/>
      <c r="Q112" s="74"/>
      <c r="R112" s="74"/>
    </row>
    <row r="113" s="3" customFormat="1" spans="1:18">
      <c r="A113" s="77" t="s">
        <v>30</v>
      </c>
      <c r="B113" s="32"/>
      <c r="C113" s="32"/>
      <c r="D113" s="39">
        <f t="shared" ref="D113:O113" si="15">SUM(D109:D112)</f>
        <v>580</v>
      </c>
      <c r="E113" s="22">
        <f t="shared" si="15"/>
        <v>20.9475</v>
      </c>
      <c r="F113" s="22">
        <f t="shared" si="15"/>
        <v>22.67</v>
      </c>
      <c r="G113" s="22">
        <f t="shared" si="15"/>
        <v>94.97</v>
      </c>
      <c r="H113" s="22">
        <f t="shared" si="15"/>
        <v>656.2</v>
      </c>
      <c r="I113" s="22">
        <f t="shared" si="15"/>
        <v>489.8515</v>
      </c>
      <c r="J113" s="22">
        <f t="shared" si="15"/>
        <v>75.352</v>
      </c>
      <c r="K113" s="22">
        <f t="shared" si="15"/>
        <v>2.2465</v>
      </c>
      <c r="L113" s="22">
        <f t="shared" si="15"/>
        <v>510.664</v>
      </c>
      <c r="M113" s="22">
        <f t="shared" si="15"/>
        <v>0.919</v>
      </c>
      <c r="N113" s="22">
        <f t="shared" si="15"/>
        <v>3.25</v>
      </c>
      <c r="O113" s="22">
        <f t="shared" si="15"/>
        <v>155.8</v>
      </c>
      <c r="P113" s="66"/>
      <c r="Q113" s="74"/>
      <c r="R113" s="74"/>
    </row>
    <row r="114" s="3" customFormat="1" spans="1:18">
      <c r="A114" s="41" t="s">
        <v>31</v>
      </c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66"/>
      <c r="Q114" s="74"/>
      <c r="R114" s="74"/>
    </row>
    <row r="115" s="3" customFormat="1" ht="13.95" customHeight="1" spans="1:18">
      <c r="A115" s="31" t="s">
        <v>47</v>
      </c>
      <c r="B115" s="20">
        <v>2017</v>
      </c>
      <c r="C115" s="24">
        <v>112</v>
      </c>
      <c r="D115" s="39">
        <v>250</v>
      </c>
      <c r="E115" s="22">
        <v>2.6625</v>
      </c>
      <c r="F115" s="22">
        <v>4.5875</v>
      </c>
      <c r="G115" s="22">
        <v>17.1375</v>
      </c>
      <c r="H115" s="22">
        <v>116.23</v>
      </c>
      <c r="I115" s="22">
        <v>24.6</v>
      </c>
      <c r="J115" s="22">
        <v>27</v>
      </c>
      <c r="K115" s="22">
        <v>1.0875</v>
      </c>
      <c r="L115" s="22">
        <v>26.65</v>
      </c>
      <c r="M115" s="22">
        <v>0.1125</v>
      </c>
      <c r="N115" s="22">
        <v>8.25</v>
      </c>
      <c r="O115" s="52">
        <v>22.8</v>
      </c>
      <c r="P115" s="66"/>
      <c r="Q115" s="74"/>
      <c r="R115" s="74"/>
    </row>
    <row r="116" s="3" customFormat="1" spans="1:18">
      <c r="A116" s="31" t="s">
        <v>33</v>
      </c>
      <c r="B116" s="20">
        <v>2017</v>
      </c>
      <c r="C116" s="24">
        <v>288</v>
      </c>
      <c r="D116" s="20">
        <v>10</v>
      </c>
      <c r="E116" s="22">
        <v>2.11</v>
      </c>
      <c r="F116" s="22">
        <v>1.36</v>
      </c>
      <c r="G116" s="22">
        <v>0</v>
      </c>
      <c r="H116" s="22">
        <v>20.67</v>
      </c>
      <c r="I116" s="22">
        <v>3.9</v>
      </c>
      <c r="J116" s="22">
        <v>2</v>
      </c>
      <c r="K116" s="22">
        <v>0.18</v>
      </c>
      <c r="L116" s="22">
        <v>14.3</v>
      </c>
      <c r="M116" s="22">
        <v>0.04</v>
      </c>
      <c r="N116" s="22">
        <v>0</v>
      </c>
      <c r="O116" s="22">
        <v>2.28</v>
      </c>
      <c r="P116" s="66"/>
      <c r="Q116" s="74"/>
      <c r="R116" s="74"/>
    </row>
    <row r="117" s="3" customFormat="1" spans="1:18">
      <c r="A117" s="31" t="s">
        <v>35</v>
      </c>
      <c r="B117" s="24">
        <v>2017</v>
      </c>
      <c r="C117" s="24">
        <v>255</v>
      </c>
      <c r="D117" s="20">
        <v>100</v>
      </c>
      <c r="E117" s="22">
        <v>10.13</v>
      </c>
      <c r="F117" s="22">
        <v>11.23</v>
      </c>
      <c r="G117" s="22">
        <v>3.9</v>
      </c>
      <c r="H117" s="22">
        <v>163.42</v>
      </c>
      <c r="I117" s="22">
        <v>38.24</v>
      </c>
      <c r="J117" s="22">
        <v>17.47</v>
      </c>
      <c r="K117" s="22">
        <v>4.74444444444444</v>
      </c>
      <c r="L117" s="22">
        <v>239.32</v>
      </c>
      <c r="M117" s="22">
        <v>0.2</v>
      </c>
      <c r="N117" s="22">
        <v>4.12</v>
      </c>
      <c r="O117" s="52">
        <v>366.51</v>
      </c>
      <c r="P117" s="66"/>
      <c r="Q117" s="74"/>
      <c r="R117" s="74"/>
    </row>
    <row r="118" s="3" customFormat="1" spans="1:18">
      <c r="A118" s="31" t="s">
        <v>36</v>
      </c>
      <c r="B118" s="32">
        <v>2017</v>
      </c>
      <c r="C118" s="32">
        <v>302</v>
      </c>
      <c r="D118" s="20">
        <v>200</v>
      </c>
      <c r="E118" s="22">
        <v>5.1</v>
      </c>
      <c r="F118" s="22">
        <f>5.17*200/150</f>
        <v>6.89333333333333</v>
      </c>
      <c r="G118" s="22">
        <v>47.76</v>
      </c>
      <c r="H118" s="22">
        <v>261.54</v>
      </c>
      <c r="I118" s="22">
        <v>17.3066666666667</v>
      </c>
      <c r="J118" s="22">
        <v>43.3333333333333</v>
      </c>
      <c r="K118" s="22">
        <v>5.26666666666667</v>
      </c>
      <c r="L118" s="22">
        <v>144.666666666667</v>
      </c>
      <c r="M118" s="22">
        <v>0.133333333333333</v>
      </c>
      <c r="N118" s="22">
        <v>0</v>
      </c>
      <c r="O118" s="52">
        <v>0.0266666666666667</v>
      </c>
      <c r="P118" s="66"/>
      <c r="Q118" s="74"/>
      <c r="R118" s="74"/>
    </row>
    <row r="119" s="3" customFormat="1" spans="1:18">
      <c r="A119" s="19" t="s">
        <v>115</v>
      </c>
      <c r="B119" s="24">
        <v>2017</v>
      </c>
      <c r="C119" s="24">
        <v>10</v>
      </c>
      <c r="D119" s="33">
        <v>100</v>
      </c>
      <c r="E119" s="34">
        <v>2.98</v>
      </c>
      <c r="F119" s="34">
        <v>5.19</v>
      </c>
      <c r="G119" s="34">
        <v>6.25</v>
      </c>
      <c r="H119" s="34">
        <v>83.6</v>
      </c>
      <c r="I119" s="34">
        <v>21.45</v>
      </c>
      <c r="J119" s="34">
        <v>20.8</v>
      </c>
      <c r="K119" s="34">
        <v>0.68</v>
      </c>
      <c r="L119" s="34">
        <v>26.5666666666667</v>
      </c>
      <c r="M119" s="34">
        <v>0.11</v>
      </c>
      <c r="N119" s="34">
        <v>11</v>
      </c>
      <c r="O119" s="34">
        <v>1.3</v>
      </c>
      <c r="P119" s="66"/>
      <c r="Q119" s="74"/>
      <c r="R119" s="74"/>
    </row>
    <row r="120" s="3" customFormat="1" spans="1:18">
      <c r="A120" s="23" t="s">
        <v>99</v>
      </c>
      <c r="B120" s="24">
        <v>2008</v>
      </c>
      <c r="C120" s="24">
        <v>436</v>
      </c>
      <c r="D120" s="85">
        <v>200</v>
      </c>
      <c r="E120" s="39">
        <v>0.18</v>
      </c>
      <c r="F120" s="39">
        <v>0.02</v>
      </c>
      <c r="G120" s="39">
        <v>27.46</v>
      </c>
      <c r="H120" s="39">
        <v>94.58</v>
      </c>
      <c r="I120" s="39">
        <v>16.3</v>
      </c>
      <c r="J120" s="39">
        <v>4.1</v>
      </c>
      <c r="K120" s="39">
        <v>0.18</v>
      </c>
      <c r="L120" s="39">
        <v>4.4</v>
      </c>
      <c r="M120" s="39">
        <v>0.03</v>
      </c>
      <c r="N120" s="39">
        <v>25.5</v>
      </c>
      <c r="O120" s="39">
        <v>0.1</v>
      </c>
      <c r="P120" s="66"/>
      <c r="Q120" s="74"/>
      <c r="R120" s="74"/>
    </row>
    <row r="121" s="3" customFormat="1" spans="1:18">
      <c r="A121" s="31" t="s">
        <v>38</v>
      </c>
      <c r="B121" s="24" t="s">
        <v>27</v>
      </c>
      <c r="C121" s="24" t="s">
        <v>27</v>
      </c>
      <c r="D121" s="20">
        <v>20</v>
      </c>
      <c r="E121" s="22">
        <v>1.58</v>
      </c>
      <c r="F121" s="22">
        <v>0.2</v>
      </c>
      <c r="G121" s="22">
        <v>9.66</v>
      </c>
      <c r="H121" s="22">
        <v>46.76</v>
      </c>
      <c r="I121" s="22">
        <v>4.6</v>
      </c>
      <c r="J121" s="22">
        <v>6.6</v>
      </c>
      <c r="K121" s="22">
        <v>0.22</v>
      </c>
      <c r="L121" s="22">
        <v>17.4</v>
      </c>
      <c r="M121" s="22">
        <v>0.08</v>
      </c>
      <c r="N121" s="22">
        <v>0</v>
      </c>
      <c r="O121" s="22">
        <v>0</v>
      </c>
      <c r="P121" s="66"/>
      <c r="Q121" s="74"/>
      <c r="R121" s="74"/>
    </row>
    <row r="122" s="3" customFormat="1" spans="1:18">
      <c r="A122" s="31" t="s">
        <v>39</v>
      </c>
      <c r="B122" s="24" t="s">
        <v>27</v>
      </c>
      <c r="C122" s="24" t="s">
        <v>27</v>
      </c>
      <c r="D122" s="24">
        <v>40</v>
      </c>
      <c r="E122" s="22">
        <v>2.24</v>
      </c>
      <c r="F122" s="22">
        <v>0.44</v>
      </c>
      <c r="G122" s="22">
        <v>19.76</v>
      </c>
      <c r="H122" s="22">
        <v>91.96</v>
      </c>
      <c r="I122" s="22">
        <v>9.2</v>
      </c>
      <c r="J122" s="22">
        <v>10</v>
      </c>
      <c r="K122" s="22">
        <v>1.24</v>
      </c>
      <c r="L122" s="22">
        <v>42.4</v>
      </c>
      <c r="M122" s="22">
        <v>0.04</v>
      </c>
      <c r="N122" s="22">
        <v>0</v>
      </c>
      <c r="O122" s="22">
        <v>0</v>
      </c>
      <c r="P122" s="66"/>
      <c r="Q122" s="74"/>
      <c r="R122" s="74"/>
    </row>
    <row r="123" s="3" customFormat="1" spans="1:18">
      <c r="A123" s="77" t="s">
        <v>30</v>
      </c>
      <c r="B123" s="32"/>
      <c r="C123" s="32"/>
      <c r="D123" s="39">
        <f>SUM(D115:D122)</f>
        <v>920</v>
      </c>
      <c r="E123" s="22">
        <f>SUM(E115:E122)</f>
        <v>26.9825</v>
      </c>
      <c r="F123" s="22">
        <f>SUM(F115:F122)</f>
        <v>29.9208333333333</v>
      </c>
      <c r="G123" s="22">
        <f>SUM(G115:G122)</f>
        <v>131.9275</v>
      </c>
      <c r="H123" s="22">
        <f>SUM(H115:H122)</f>
        <v>878.76</v>
      </c>
      <c r="I123" s="22">
        <f t="shared" ref="I123:O123" si="16">SUM(I115:I122)</f>
        <v>135.596666666667</v>
      </c>
      <c r="J123" s="22">
        <f t="shared" si="16"/>
        <v>131.303333333333</v>
      </c>
      <c r="K123" s="22">
        <f t="shared" si="16"/>
        <v>13.5986111111111</v>
      </c>
      <c r="L123" s="22">
        <f t="shared" si="16"/>
        <v>515.703333333333</v>
      </c>
      <c r="M123" s="22">
        <f t="shared" si="16"/>
        <v>0.745833333333333</v>
      </c>
      <c r="N123" s="22">
        <f t="shared" si="16"/>
        <v>48.87</v>
      </c>
      <c r="O123" s="22">
        <f t="shared" si="16"/>
        <v>393.016666666667</v>
      </c>
      <c r="P123" s="66"/>
      <c r="Q123" s="74"/>
      <c r="R123" s="74"/>
    </row>
    <row r="124" s="4" customFormat="1" spans="1:18">
      <c r="A124" s="40" t="s">
        <v>41</v>
      </c>
      <c r="B124" s="86"/>
      <c r="C124" s="86"/>
      <c r="D124" s="46">
        <f t="shared" ref="D124:O124" si="17">D123+D113</f>
        <v>1500</v>
      </c>
      <c r="E124" s="42">
        <f t="shared" si="17"/>
        <v>47.93</v>
      </c>
      <c r="F124" s="42">
        <f t="shared" si="17"/>
        <v>52.5908333333333</v>
      </c>
      <c r="G124" s="42">
        <f t="shared" si="17"/>
        <v>226.8975</v>
      </c>
      <c r="H124" s="42">
        <f t="shared" si="17"/>
        <v>1534.96</v>
      </c>
      <c r="I124" s="42">
        <f t="shared" si="17"/>
        <v>625.448166666667</v>
      </c>
      <c r="J124" s="42">
        <f t="shared" si="17"/>
        <v>206.655333333333</v>
      </c>
      <c r="K124" s="42">
        <f t="shared" si="17"/>
        <v>15.8451111111111</v>
      </c>
      <c r="L124" s="42">
        <f t="shared" si="17"/>
        <v>1026.36733333333</v>
      </c>
      <c r="M124" s="42">
        <f t="shared" si="17"/>
        <v>1.66483333333333</v>
      </c>
      <c r="N124" s="42">
        <f t="shared" si="17"/>
        <v>52.12</v>
      </c>
      <c r="O124" s="42">
        <f t="shared" si="17"/>
        <v>548.816666666667</v>
      </c>
      <c r="P124" s="69"/>
      <c r="Q124" s="57"/>
      <c r="R124" s="57"/>
    </row>
    <row r="125" s="2" customFormat="1" spans="1:18">
      <c r="A125" s="40" t="s">
        <v>80</v>
      </c>
      <c r="B125" s="86"/>
      <c r="C125" s="86"/>
      <c r="D125" s="42">
        <f t="shared" ref="D125:O125" si="18">(D124+D106+D87+D68+D50+D31)/6</f>
        <v>1689.16666666667</v>
      </c>
      <c r="E125" s="42">
        <f t="shared" si="18"/>
        <v>50.5741838624339</v>
      </c>
      <c r="F125" s="42">
        <f t="shared" si="18"/>
        <v>53.165958994709</v>
      </c>
      <c r="G125" s="42">
        <f t="shared" si="18"/>
        <v>219.590388888889</v>
      </c>
      <c r="H125" s="42">
        <f t="shared" si="18"/>
        <v>1561.47634259259</v>
      </c>
      <c r="I125" s="42">
        <f t="shared" si="18"/>
        <v>649.934601851852</v>
      </c>
      <c r="J125" s="42">
        <f t="shared" si="18"/>
        <v>209.888608465608</v>
      </c>
      <c r="K125" s="42">
        <f t="shared" si="18"/>
        <v>11.7413174603175</v>
      </c>
      <c r="L125" s="42">
        <f t="shared" si="18"/>
        <v>797.611503968254</v>
      </c>
      <c r="M125" s="42">
        <f t="shared" si="18"/>
        <v>0.990308201058201</v>
      </c>
      <c r="N125" s="42">
        <f t="shared" si="18"/>
        <v>47.4920833333333</v>
      </c>
      <c r="O125" s="42">
        <f t="shared" si="18"/>
        <v>458.238573280423</v>
      </c>
      <c r="P125" s="63"/>
      <c r="Q125" s="72"/>
      <c r="R125" s="72"/>
    </row>
    <row r="126" s="2" customFormat="1" spans="1:18">
      <c r="A126" s="47" t="s">
        <v>81</v>
      </c>
      <c r="B126" s="79"/>
      <c r="C126" s="79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88"/>
      <c r="Q126" s="89"/>
      <c r="R126" s="89"/>
    </row>
    <row r="127" s="2" customFormat="1" spans="1:18">
      <c r="A127" s="47" t="s">
        <v>23</v>
      </c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57"/>
      <c r="Q127" s="72"/>
      <c r="R127" s="72"/>
    </row>
    <row r="128" s="3" customFormat="1" ht="17.4" customHeight="1" spans="1:18">
      <c r="A128" s="19" t="s">
        <v>82</v>
      </c>
      <c r="B128" s="20">
        <v>2017</v>
      </c>
      <c r="C128" s="20">
        <v>173</v>
      </c>
      <c r="D128" s="85">
        <v>260</v>
      </c>
      <c r="E128" s="22">
        <v>7.64</v>
      </c>
      <c r="F128" s="22">
        <v>12.97</v>
      </c>
      <c r="G128" s="22">
        <v>82.65</v>
      </c>
      <c r="H128" s="22">
        <v>389.108571428571</v>
      </c>
      <c r="I128" s="22">
        <v>237.961904761905</v>
      </c>
      <c r="J128" s="22">
        <v>28.5504761904762</v>
      </c>
      <c r="K128" s="22">
        <v>1.46095238095238</v>
      </c>
      <c r="L128" s="22">
        <v>144.857142857143</v>
      </c>
      <c r="M128" s="22">
        <v>0.21047619047619</v>
      </c>
      <c r="N128" s="22">
        <v>0.668571428571429</v>
      </c>
      <c r="O128" s="52">
        <v>26.518820861678</v>
      </c>
      <c r="P128" s="59" t="s">
        <v>81</v>
      </c>
      <c r="Q128" s="74"/>
      <c r="R128" s="74"/>
    </row>
    <row r="129" s="3" customFormat="1" spans="1:18">
      <c r="A129" s="27" t="s">
        <v>57</v>
      </c>
      <c r="B129" s="28">
        <v>2017</v>
      </c>
      <c r="C129" s="28">
        <v>8</v>
      </c>
      <c r="D129" s="39">
        <v>200</v>
      </c>
      <c r="E129" s="22">
        <v>0.677777777777778</v>
      </c>
      <c r="F129" s="22">
        <v>0.277777777777778</v>
      </c>
      <c r="G129" s="22">
        <v>17.9777777777778</v>
      </c>
      <c r="H129" s="22">
        <v>77.1222222222222</v>
      </c>
      <c r="I129" s="22">
        <v>21.3333333333333</v>
      </c>
      <c r="J129" s="22">
        <v>3.44444444444444</v>
      </c>
      <c r="K129" s="22">
        <v>0.633333333333333</v>
      </c>
      <c r="L129" s="22">
        <v>3.44444444444444</v>
      </c>
      <c r="M129" s="22">
        <v>0.01</v>
      </c>
      <c r="N129" s="22">
        <v>19</v>
      </c>
      <c r="O129" s="52">
        <v>0</v>
      </c>
      <c r="P129" s="59"/>
      <c r="Q129" s="74"/>
      <c r="R129" s="74"/>
    </row>
    <row r="130" s="3" customFormat="1" spans="1:18">
      <c r="A130" s="27" t="s">
        <v>83</v>
      </c>
      <c r="B130" s="39">
        <v>2017</v>
      </c>
      <c r="C130" s="39">
        <v>209</v>
      </c>
      <c r="D130" s="39">
        <v>40</v>
      </c>
      <c r="E130" s="22">
        <v>5.1</v>
      </c>
      <c r="F130" s="22">
        <v>4.6</v>
      </c>
      <c r="G130" s="22">
        <v>0.3</v>
      </c>
      <c r="H130" s="22">
        <v>63</v>
      </c>
      <c r="I130" s="22">
        <v>22</v>
      </c>
      <c r="J130" s="22">
        <v>4.8</v>
      </c>
      <c r="K130" s="22">
        <v>1</v>
      </c>
      <c r="L130" s="22">
        <v>76.8</v>
      </c>
      <c r="M130" s="22">
        <v>0.03</v>
      </c>
      <c r="N130" s="22">
        <v>0</v>
      </c>
      <c r="O130" s="52">
        <v>0.114</v>
      </c>
      <c r="P130" s="59"/>
      <c r="Q130" s="74"/>
      <c r="R130" s="74"/>
    </row>
    <row r="131" s="3" customFormat="1" spans="1:18">
      <c r="A131" s="27" t="s">
        <v>26</v>
      </c>
      <c r="B131" s="24" t="s">
        <v>27</v>
      </c>
      <c r="C131" s="24" t="s">
        <v>27</v>
      </c>
      <c r="D131" s="29">
        <v>60</v>
      </c>
      <c r="E131" s="22">
        <v>4.74</v>
      </c>
      <c r="F131" s="22">
        <v>0.6</v>
      </c>
      <c r="G131" s="22">
        <v>28.98</v>
      </c>
      <c r="H131" s="22">
        <v>140.28</v>
      </c>
      <c r="I131" s="22">
        <v>13.8</v>
      </c>
      <c r="J131" s="22">
        <v>19.8</v>
      </c>
      <c r="K131" s="22">
        <v>0.66</v>
      </c>
      <c r="L131" s="22">
        <v>52.2</v>
      </c>
      <c r="M131" s="22">
        <v>0.1</v>
      </c>
      <c r="N131" s="22">
        <v>0</v>
      </c>
      <c r="O131" s="52">
        <v>0</v>
      </c>
      <c r="P131" s="59"/>
      <c r="Q131" s="74"/>
      <c r="R131" s="74"/>
    </row>
    <row r="132" s="3" customFormat="1" spans="1:18">
      <c r="A132" s="77" t="s">
        <v>30</v>
      </c>
      <c r="B132" s="78"/>
      <c r="C132" s="78"/>
      <c r="D132" s="39">
        <v>560</v>
      </c>
      <c r="E132" s="22">
        <f>SUM(E128:E131)</f>
        <v>18.1577777777778</v>
      </c>
      <c r="F132" s="22">
        <f>SUM(F128:F131)</f>
        <v>18.4477777777778</v>
      </c>
      <c r="G132" s="22">
        <f>SUM(G128:G131)</f>
        <v>129.907777777778</v>
      </c>
      <c r="H132" s="22">
        <f>SUM(H128:H131)</f>
        <v>669.510793650794</v>
      </c>
      <c r="I132" s="22">
        <f t="shared" ref="I132:O132" si="19">SUM(I128:I131)</f>
        <v>295.095238095238</v>
      </c>
      <c r="J132" s="22">
        <f t="shared" si="19"/>
        <v>56.5949206349206</v>
      </c>
      <c r="K132" s="22">
        <f t="shared" si="19"/>
        <v>3.75428571428571</v>
      </c>
      <c r="L132" s="22">
        <f t="shared" si="19"/>
        <v>277.301587301587</v>
      </c>
      <c r="M132" s="22">
        <f t="shared" si="19"/>
        <v>0.35047619047619</v>
      </c>
      <c r="N132" s="22">
        <f t="shared" si="19"/>
        <v>19.6685714285714</v>
      </c>
      <c r="O132" s="52">
        <f t="shared" si="19"/>
        <v>26.632820861678</v>
      </c>
      <c r="P132" s="59"/>
      <c r="Q132" s="74"/>
      <c r="R132" s="74"/>
    </row>
    <row r="133" s="3" customFormat="1" ht="12.6" customHeight="1" spans="1:18">
      <c r="A133" s="41" t="s">
        <v>31</v>
      </c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59"/>
      <c r="Q133" s="74"/>
      <c r="R133" s="74"/>
    </row>
    <row r="134" s="3" customFormat="1" spans="1:18">
      <c r="A134" s="31" t="s">
        <v>84</v>
      </c>
      <c r="B134" s="24">
        <v>2017</v>
      </c>
      <c r="C134" s="24">
        <v>102</v>
      </c>
      <c r="D134" s="20">
        <v>250</v>
      </c>
      <c r="E134" s="22">
        <v>5.49</v>
      </c>
      <c r="F134" s="22">
        <v>5.28</v>
      </c>
      <c r="G134" s="22">
        <v>16.33</v>
      </c>
      <c r="H134" s="22">
        <v>134.75</v>
      </c>
      <c r="I134" s="22">
        <v>38.08</v>
      </c>
      <c r="J134" s="22">
        <v>35.3</v>
      </c>
      <c r="K134" s="22">
        <v>2.03</v>
      </c>
      <c r="L134" s="22">
        <v>87.18</v>
      </c>
      <c r="M134" s="22">
        <v>0.08</v>
      </c>
      <c r="N134" s="22">
        <v>5.81</v>
      </c>
      <c r="O134" s="52">
        <v>0</v>
      </c>
      <c r="P134" s="59"/>
      <c r="Q134" s="74"/>
      <c r="R134" s="74"/>
    </row>
    <row r="135" s="3" customFormat="1" spans="1:18">
      <c r="A135" s="31" t="s">
        <v>33</v>
      </c>
      <c r="B135" s="20">
        <v>2017</v>
      </c>
      <c r="C135" s="24">
        <v>288</v>
      </c>
      <c r="D135" s="20">
        <v>10</v>
      </c>
      <c r="E135" s="22">
        <v>2.11</v>
      </c>
      <c r="F135" s="22">
        <v>1.36</v>
      </c>
      <c r="G135" s="22">
        <v>0</v>
      </c>
      <c r="H135" s="22">
        <v>20.67</v>
      </c>
      <c r="I135" s="22">
        <v>3.9</v>
      </c>
      <c r="J135" s="22">
        <v>2</v>
      </c>
      <c r="K135" s="22">
        <v>0.18</v>
      </c>
      <c r="L135" s="22">
        <v>14.3</v>
      </c>
      <c r="M135" s="22">
        <v>0.04</v>
      </c>
      <c r="N135" s="22">
        <v>0</v>
      </c>
      <c r="O135" s="52">
        <v>2.28</v>
      </c>
      <c r="P135" s="59"/>
      <c r="Q135" s="74"/>
      <c r="R135" s="74"/>
    </row>
    <row r="136" s="3" customFormat="1" spans="1:18">
      <c r="A136" s="31" t="s">
        <v>85</v>
      </c>
      <c r="B136" s="20">
        <v>2011</v>
      </c>
      <c r="C136" s="24">
        <v>95</v>
      </c>
      <c r="D136" s="20">
        <v>260</v>
      </c>
      <c r="E136" s="22">
        <v>4.2</v>
      </c>
      <c r="F136" s="22">
        <v>4.07</v>
      </c>
      <c r="G136" s="22">
        <v>10.2</v>
      </c>
      <c r="H136" s="52">
        <v>95.6</v>
      </c>
      <c r="I136" s="22">
        <v>16.55</v>
      </c>
      <c r="J136" s="22">
        <v>28</v>
      </c>
      <c r="K136" s="22">
        <v>1.03</v>
      </c>
      <c r="L136" s="22">
        <v>34.95</v>
      </c>
      <c r="M136" s="22">
        <v>0.15</v>
      </c>
      <c r="N136" s="22">
        <v>14.3</v>
      </c>
      <c r="O136" s="52">
        <v>0</v>
      </c>
      <c r="P136" s="59"/>
      <c r="Q136" s="74"/>
      <c r="R136" s="74"/>
    </row>
    <row r="137" s="3" customFormat="1" spans="1:18">
      <c r="A137" s="27" t="s">
        <v>60</v>
      </c>
      <c r="B137" s="24">
        <v>2017</v>
      </c>
      <c r="C137" s="39">
        <v>291</v>
      </c>
      <c r="D137" s="39">
        <v>250</v>
      </c>
      <c r="E137" s="22">
        <v>19.05</v>
      </c>
      <c r="F137" s="22">
        <v>20.58</v>
      </c>
      <c r="G137" s="22">
        <f>42*250/200</f>
        <v>52.5</v>
      </c>
      <c r="H137" s="52">
        <v>489.94</v>
      </c>
      <c r="I137" s="70">
        <f>45.1*250/200</f>
        <v>56.375</v>
      </c>
      <c r="J137" s="70">
        <f>47.5*250/200</f>
        <v>59.375</v>
      </c>
      <c r="K137" s="70">
        <f>2.19*250/200</f>
        <v>2.7375</v>
      </c>
      <c r="L137" s="70">
        <v>179.13</v>
      </c>
      <c r="M137" s="70">
        <f>0.06*250/200</f>
        <v>0.075</v>
      </c>
      <c r="N137" s="70">
        <f>1.01*250/200</f>
        <v>1.2625</v>
      </c>
      <c r="O137" s="71">
        <f>248.03*250/200</f>
        <v>310.0375</v>
      </c>
      <c r="P137" s="59"/>
      <c r="Q137" s="74"/>
      <c r="R137" s="74"/>
    </row>
    <row r="138" s="3" customFormat="1" spans="1:18">
      <c r="A138" s="27" t="s">
        <v>86</v>
      </c>
      <c r="B138" s="39">
        <v>2008</v>
      </c>
      <c r="C138" s="39">
        <v>17</v>
      </c>
      <c r="D138" s="39">
        <v>100</v>
      </c>
      <c r="E138" s="22">
        <v>0.866666666666667</v>
      </c>
      <c r="F138" s="22">
        <v>3.12</v>
      </c>
      <c r="G138" s="22">
        <v>2.61666666666667</v>
      </c>
      <c r="H138" s="22">
        <v>59.8</v>
      </c>
      <c r="I138" s="22">
        <v>23.2833333333333</v>
      </c>
      <c r="J138" s="22">
        <v>13.4333333333333</v>
      </c>
      <c r="K138" s="22">
        <v>0.222</v>
      </c>
      <c r="L138" s="22">
        <v>28.2333333333333</v>
      </c>
      <c r="M138" s="22">
        <v>0.0166666666666667</v>
      </c>
      <c r="N138" s="22">
        <v>5.55</v>
      </c>
      <c r="O138" s="52">
        <v>0</v>
      </c>
      <c r="P138" s="59"/>
      <c r="Q138" s="74"/>
      <c r="R138" s="74"/>
    </row>
    <row r="139" s="3" customFormat="1" ht="14.4" customHeight="1" spans="1:18">
      <c r="A139" s="37" t="s">
        <v>40</v>
      </c>
      <c r="B139" s="32">
        <v>2017</v>
      </c>
      <c r="C139" s="32">
        <v>349</v>
      </c>
      <c r="D139" s="32">
        <v>200</v>
      </c>
      <c r="E139" s="38">
        <v>0.04</v>
      </c>
      <c r="F139" s="38">
        <v>0</v>
      </c>
      <c r="G139" s="38">
        <v>24.76</v>
      </c>
      <c r="H139" s="38">
        <v>94.2</v>
      </c>
      <c r="I139" s="38">
        <v>6.4</v>
      </c>
      <c r="J139" s="38">
        <v>0</v>
      </c>
      <c r="K139" s="38">
        <v>0.18</v>
      </c>
      <c r="L139" s="38">
        <v>3.6</v>
      </c>
      <c r="M139" s="38">
        <v>0.01</v>
      </c>
      <c r="N139" s="38">
        <v>1.08</v>
      </c>
      <c r="O139" s="38">
        <v>0</v>
      </c>
      <c r="P139" s="59"/>
      <c r="Q139" s="74"/>
      <c r="R139" s="74"/>
    </row>
    <row r="140" s="3" customFormat="1" spans="1:18">
      <c r="A140" s="31" t="s">
        <v>38</v>
      </c>
      <c r="B140" s="24" t="s">
        <v>27</v>
      </c>
      <c r="C140" s="24" t="s">
        <v>27</v>
      </c>
      <c r="D140" s="20">
        <v>20</v>
      </c>
      <c r="E140" s="22">
        <v>1.58</v>
      </c>
      <c r="F140" s="22">
        <v>0.2</v>
      </c>
      <c r="G140" s="22">
        <v>9.66</v>
      </c>
      <c r="H140" s="22">
        <v>46.76</v>
      </c>
      <c r="I140" s="22">
        <v>4.6</v>
      </c>
      <c r="J140" s="22">
        <v>6.6</v>
      </c>
      <c r="K140" s="22">
        <v>0.22</v>
      </c>
      <c r="L140" s="22">
        <v>17.4</v>
      </c>
      <c r="M140" s="22">
        <v>0.08</v>
      </c>
      <c r="N140" s="22">
        <v>0</v>
      </c>
      <c r="O140" s="52">
        <v>0</v>
      </c>
      <c r="P140" s="59"/>
      <c r="Q140" s="74"/>
      <c r="R140" s="74"/>
    </row>
    <row r="141" s="3" customFormat="1" spans="1:18">
      <c r="A141" s="31" t="s">
        <v>39</v>
      </c>
      <c r="B141" s="24" t="s">
        <v>27</v>
      </c>
      <c r="C141" s="24" t="s">
        <v>27</v>
      </c>
      <c r="D141" s="24">
        <v>40</v>
      </c>
      <c r="E141" s="22">
        <v>2.24</v>
      </c>
      <c r="F141" s="22">
        <v>0.44</v>
      </c>
      <c r="G141" s="22">
        <v>19.76</v>
      </c>
      <c r="H141" s="22">
        <v>91.96</v>
      </c>
      <c r="I141" s="22">
        <v>9.2</v>
      </c>
      <c r="J141" s="22">
        <v>10</v>
      </c>
      <c r="K141" s="22">
        <v>1.24</v>
      </c>
      <c r="L141" s="22">
        <v>42.4</v>
      </c>
      <c r="M141" s="22">
        <v>0.04</v>
      </c>
      <c r="N141" s="22">
        <v>0</v>
      </c>
      <c r="O141" s="52">
        <v>0</v>
      </c>
      <c r="P141" s="59"/>
      <c r="Q141" s="74"/>
      <c r="R141" s="74"/>
    </row>
    <row r="142" spans="1:18">
      <c r="A142" s="77" t="s">
        <v>30</v>
      </c>
      <c r="B142" s="78"/>
      <c r="C142" s="78"/>
      <c r="D142" s="39">
        <f>SUM(D134:D141)</f>
        <v>1130</v>
      </c>
      <c r="E142" s="22">
        <f>SUM(E134:E141)</f>
        <v>35.5766666666667</v>
      </c>
      <c r="F142" s="22">
        <f>SUM(F134:F141)</f>
        <v>35.05</v>
      </c>
      <c r="G142" s="22">
        <f>SUM(G134:G141)</f>
        <v>135.826666666667</v>
      </c>
      <c r="H142" s="22">
        <f>SUM(H134:H141)</f>
        <v>1033.68</v>
      </c>
      <c r="I142" s="22">
        <f t="shared" ref="I142:O142" si="20">SUM(I134:I141)</f>
        <v>158.388333333333</v>
      </c>
      <c r="J142" s="22">
        <f t="shared" si="20"/>
        <v>154.708333333333</v>
      </c>
      <c r="K142" s="22">
        <f t="shared" si="20"/>
        <v>7.8395</v>
      </c>
      <c r="L142" s="22">
        <f t="shared" si="20"/>
        <v>407.193333333333</v>
      </c>
      <c r="M142" s="22">
        <f t="shared" si="20"/>
        <v>0.491666666666667</v>
      </c>
      <c r="N142" s="22">
        <f t="shared" si="20"/>
        <v>28.0025</v>
      </c>
      <c r="O142" s="52">
        <f t="shared" si="20"/>
        <v>312.3175</v>
      </c>
      <c r="P142" s="59"/>
      <c r="Q142" s="73"/>
      <c r="R142" s="73"/>
    </row>
    <row r="143" s="2" customFormat="1" spans="1:18">
      <c r="A143" s="40" t="s">
        <v>41</v>
      </c>
      <c r="B143" s="41"/>
      <c r="C143" s="41"/>
      <c r="D143" s="46">
        <f>D142+D132</f>
        <v>1690</v>
      </c>
      <c r="E143" s="42">
        <f>E142+E132</f>
        <v>53.7344444444444</v>
      </c>
      <c r="F143" s="42">
        <f>F142+F132</f>
        <v>53.4977777777778</v>
      </c>
      <c r="G143" s="42">
        <f>G142+G132</f>
        <v>265.734444444444</v>
      </c>
      <c r="H143" s="42">
        <f>H142+H132</f>
        <v>1703.19079365079</v>
      </c>
      <c r="I143" s="42">
        <f t="shared" ref="I143:O143" si="21">I142+I132</f>
        <v>453.483571428571</v>
      </c>
      <c r="J143" s="42">
        <f t="shared" si="21"/>
        <v>211.303253968254</v>
      </c>
      <c r="K143" s="42">
        <f t="shared" si="21"/>
        <v>11.5937857142857</v>
      </c>
      <c r="L143" s="42">
        <f t="shared" si="21"/>
        <v>684.494920634921</v>
      </c>
      <c r="M143" s="42">
        <f t="shared" si="21"/>
        <v>0.842142857142857</v>
      </c>
      <c r="N143" s="42">
        <f t="shared" si="21"/>
        <v>47.6710714285714</v>
      </c>
      <c r="O143" s="62">
        <f t="shared" si="21"/>
        <v>338.950320861678</v>
      </c>
      <c r="P143" s="59"/>
      <c r="Q143" s="72"/>
      <c r="R143" s="72"/>
    </row>
    <row r="144" s="2" customFormat="1" spans="1:18">
      <c r="A144" s="47" t="s">
        <v>87</v>
      </c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57"/>
      <c r="Q144" s="72"/>
      <c r="R144" s="72"/>
    </row>
    <row r="145" s="2" customFormat="1" spans="1:18">
      <c r="A145" s="47" t="s">
        <v>23</v>
      </c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57"/>
      <c r="Q145" s="72"/>
      <c r="R145" s="72"/>
    </row>
    <row r="146" ht="30" spans="1:18">
      <c r="A146" s="31" t="s">
        <v>88</v>
      </c>
      <c r="B146" s="24">
        <v>2017</v>
      </c>
      <c r="C146" s="24">
        <v>188</v>
      </c>
      <c r="D146" s="29">
        <v>210</v>
      </c>
      <c r="E146" s="22">
        <f>9.09*210/180</f>
        <v>10.605</v>
      </c>
      <c r="F146" s="22">
        <f>4.28*210/180</f>
        <v>4.99333333333333</v>
      </c>
      <c r="G146" s="22">
        <f>32.27*210/180</f>
        <v>37.6483333333333</v>
      </c>
      <c r="H146" s="22">
        <v>228.54</v>
      </c>
      <c r="I146" s="22">
        <v>182.443333333333</v>
      </c>
      <c r="J146" s="22">
        <v>31.8033333333333</v>
      </c>
      <c r="K146" s="22">
        <v>1.435</v>
      </c>
      <c r="L146" s="22">
        <v>215.751666666667</v>
      </c>
      <c r="M146" s="22">
        <v>0.105</v>
      </c>
      <c r="N146" s="22">
        <v>2.33333333333333</v>
      </c>
      <c r="O146" s="52">
        <v>29.6566666666667</v>
      </c>
      <c r="P146" s="59" t="s">
        <v>87</v>
      </c>
      <c r="Q146" s="73"/>
      <c r="R146" s="73"/>
    </row>
    <row r="147" customHeight="1" spans="1:18">
      <c r="A147" s="82" t="s">
        <v>75</v>
      </c>
      <c r="B147" s="29">
        <v>2017</v>
      </c>
      <c r="C147" s="76">
        <v>382</v>
      </c>
      <c r="D147" s="29">
        <v>200</v>
      </c>
      <c r="E147" s="22">
        <v>3.52</v>
      </c>
      <c r="F147" s="22">
        <v>3.72</v>
      </c>
      <c r="G147" s="22">
        <v>25.49</v>
      </c>
      <c r="H147" s="22">
        <v>145.2</v>
      </c>
      <c r="I147" s="22">
        <v>122</v>
      </c>
      <c r="J147" s="22">
        <v>14</v>
      </c>
      <c r="K147" s="22">
        <v>0.56</v>
      </c>
      <c r="L147" s="22">
        <v>39</v>
      </c>
      <c r="M147" s="22">
        <v>0.04</v>
      </c>
      <c r="N147" s="22">
        <v>1.3</v>
      </c>
      <c r="O147" s="52">
        <v>0.0114</v>
      </c>
      <c r="P147" s="59"/>
      <c r="Q147" s="73"/>
      <c r="R147" s="73"/>
    </row>
    <row r="148" customHeight="1" spans="1:18">
      <c r="A148" s="27" t="s">
        <v>64</v>
      </c>
      <c r="B148" s="39">
        <v>3</v>
      </c>
      <c r="C148" s="39">
        <v>2017</v>
      </c>
      <c r="D148" s="29">
        <v>40</v>
      </c>
      <c r="E148" s="22">
        <v>4.9</v>
      </c>
      <c r="F148" s="22">
        <v>11.55</v>
      </c>
      <c r="G148" s="22">
        <v>17.1</v>
      </c>
      <c r="H148" s="22">
        <v>193</v>
      </c>
      <c r="I148" s="22">
        <v>106</v>
      </c>
      <c r="J148" s="22">
        <v>4.8</v>
      </c>
      <c r="K148" s="22">
        <v>0.12</v>
      </c>
      <c r="L148" s="22">
        <v>0.09</v>
      </c>
      <c r="M148" s="22">
        <v>0.06</v>
      </c>
      <c r="N148" s="22">
        <v>0.11</v>
      </c>
      <c r="O148" s="52">
        <v>39</v>
      </c>
      <c r="P148" s="59"/>
      <c r="Q148" s="73"/>
      <c r="R148" s="73"/>
    </row>
    <row r="149" customHeight="1" spans="1:18">
      <c r="A149" s="27" t="s">
        <v>65</v>
      </c>
      <c r="B149" s="39">
        <v>2017</v>
      </c>
      <c r="C149" s="39">
        <v>338</v>
      </c>
      <c r="D149" s="29">
        <v>100</v>
      </c>
      <c r="E149" s="22">
        <v>0.9</v>
      </c>
      <c r="F149" s="22">
        <v>0.2</v>
      </c>
      <c r="G149" s="22">
        <v>8.1</v>
      </c>
      <c r="H149" s="22">
        <v>37.8</v>
      </c>
      <c r="I149" s="22">
        <v>34</v>
      </c>
      <c r="J149" s="22">
        <v>13</v>
      </c>
      <c r="K149" s="22">
        <v>0.3</v>
      </c>
      <c r="L149" s="22">
        <v>18.33</v>
      </c>
      <c r="M149" s="22">
        <v>0.04</v>
      </c>
      <c r="N149" s="22">
        <v>26</v>
      </c>
      <c r="O149" s="52">
        <v>0</v>
      </c>
      <c r="P149" s="59"/>
      <c r="Q149" s="73"/>
      <c r="R149" s="73"/>
    </row>
    <row r="150" customHeight="1" spans="1:18">
      <c r="A150" s="77" t="s">
        <v>30</v>
      </c>
      <c r="B150" s="78"/>
      <c r="C150" s="78"/>
      <c r="D150" s="39">
        <v>550</v>
      </c>
      <c r="E150" s="22">
        <f>SUM(E146:E149)</f>
        <v>19.925</v>
      </c>
      <c r="F150" s="22">
        <f>SUM(F146:F149)</f>
        <v>20.4633333333333</v>
      </c>
      <c r="G150" s="22">
        <f>SUM(G146:G149)</f>
        <v>88.3383333333333</v>
      </c>
      <c r="H150" s="22">
        <f>SUM(H146:H149)</f>
        <v>604.54</v>
      </c>
      <c r="I150" s="22">
        <f t="shared" ref="I150:O150" si="22">SUM(I146:I149)</f>
        <v>444.443333333333</v>
      </c>
      <c r="J150" s="22">
        <f t="shared" si="22"/>
        <v>63.6033333333333</v>
      </c>
      <c r="K150" s="22">
        <f t="shared" si="22"/>
        <v>2.415</v>
      </c>
      <c r="L150" s="22">
        <f t="shared" si="22"/>
        <v>273.171666666667</v>
      </c>
      <c r="M150" s="22">
        <f t="shared" si="22"/>
        <v>0.245</v>
      </c>
      <c r="N150" s="22">
        <f t="shared" si="22"/>
        <v>29.7433333333333</v>
      </c>
      <c r="O150" s="52">
        <f t="shared" si="22"/>
        <v>68.6680666666667</v>
      </c>
      <c r="P150" s="59"/>
      <c r="Q150" s="73"/>
      <c r="R150" s="73"/>
    </row>
    <row r="151" customHeight="1" spans="1:18">
      <c r="A151" s="41" t="s">
        <v>31</v>
      </c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59"/>
      <c r="Q151" s="73"/>
      <c r="R151" s="73"/>
    </row>
    <row r="152" customHeight="1" spans="1:18">
      <c r="A152" s="31" t="s">
        <v>89</v>
      </c>
      <c r="B152" s="90">
        <v>2017</v>
      </c>
      <c r="C152" s="90">
        <v>63</v>
      </c>
      <c r="D152" s="91">
        <v>260</v>
      </c>
      <c r="E152" s="70">
        <v>4.98</v>
      </c>
      <c r="F152" s="70">
        <v>1.89</v>
      </c>
      <c r="G152" s="70">
        <v>9.81</v>
      </c>
      <c r="H152" s="70">
        <v>101.66</v>
      </c>
      <c r="I152" s="70">
        <f>71.61*260/210</f>
        <v>88.66</v>
      </c>
      <c r="J152" s="70">
        <f>18.13*260/210</f>
        <v>22.4466666666667</v>
      </c>
      <c r="K152" s="70">
        <f>1.12*260/210</f>
        <v>1.38666666666667</v>
      </c>
      <c r="L152" s="70">
        <f>22.71*260/210</f>
        <v>28.1171428571429</v>
      </c>
      <c r="M152" s="95">
        <f>0.07*260/210</f>
        <v>0.0866666666666667</v>
      </c>
      <c r="N152" s="95">
        <f>1.57*260/210</f>
        <v>1.94380952380952</v>
      </c>
      <c r="O152" s="71">
        <f>25.42*260/210</f>
        <v>31.472380952381</v>
      </c>
      <c r="P152" s="59"/>
      <c r="Q152" s="73"/>
      <c r="R152" s="73"/>
    </row>
    <row r="153" customHeight="1" spans="1:18">
      <c r="A153" s="31" t="s">
        <v>66</v>
      </c>
      <c r="B153" s="90">
        <v>2017</v>
      </c>
      <c r="C153" s="90">
        <v>99</v>
      </c>
      <c r="D153" s="91">
        <v>260</v>
      </c>
      <c r="E153" s="92">
        <v>1.68</v>
      </c>
      <c r="F153" s="92">
        <v>5.98</v>
      </c>
      <c r="G153" s="92">
        <v>9.35</v>
      </c>
      <c r="H153" s="92">
        <v>98.37</v>
      </c>
      <c r="I153" s="92">
        <v>51.9</v>
      </c>
      <c r="J153" s="92">
        <v>33</v>
      </c>
      <c r="K153" s="92">
        <v>0.99</v>
      </c>
      <c r="L153" s="92">
        <v>225.9</v>
      </c>
      <c r="M153" s="98">
        <v>0.09</v>
      </c>
      <c r="N153" s="98">
        <v>12.75</v>
      </c>
      <c r="O153" s="99">
        <v>0</v>
      </c>
      <c r="P153" s="59"/>
      <c r="Q153" s="73"/>
      <c r="R153" s="73"/>
    </row>
    <row r="154" customHeight="1" spans="1:18">
      <c r="A154" s="27" t="s">
        <v>90</v>
      </c>
      <c r="B154" s="39">
        <v>2017</v>
      </c>
      <c r="C154" s="39" t="s">
        <v>91</v>
      </c>
      <c r="D154" s="53">
        <v>100</v>
      </c>
      <c r="E154" s="93">
        <f>9.33*100/90</f>
        <v>10.3666666666667</v>
      </c>
      <c r="F154" s="93">
        <f>14.59*100/90</f>
        <v>16.2111111111111</v>
      </c>
      <c r="G154" s="93">
        <f>9.87*100/90</f>
        <v>10.9666666666667</v>
      </c>
      <c r="H154" s="93">
        <v>228.5</v>
      </c>
      <c r="I154" s="93">
        <v>54.4444444444444</v>
      </c>
      <c r="J154" s="93">
        <v>13.7777777777778</v>
      </c>
      <c r="K154" s="93">
        <v>1.25555555555556</v>
      </c>
      <c r="L154" s="93">
        <v>232.555555555556</v>
      </c>
      <c r="M154" s="93">
        <v>0.111111111111111</v>
      </c>
      <c r="N154" s="93">
        <v>0.444444444444444</v>
      </c>
      <c r="O154" s="100">
        <v>235.966666666667</v>
      </c>
      <c r="P154" s="59"/>
      <c r="Q154" s="73"/>
      <c r="R154" s="73"/>
    </row>
    <row r="155" customHeight="1" spans="1:18">
      <c r="A155" s="27" t="s">
        <v>92</v>
      </c>
      <c r="B155" s="39">
        <v>2017</v>
      </c>
      <c r="C155" s="39">
        <v>202</v>
      </c>
      <c r="D155" s="53">
        <v>200</v>
      </c>
      <c r="E155" s="34">
        <v>7.36</v>
      </c>
      <c r="F155" s="34">
        <v>6.02666666666667</v>
      </c>
      <c r="G155" s="34">
        <v>35.2666666666667</v>
      </c>
      <c r="H155" s="34">
        <v>224.6</v>
      </c>
      <c r="I155" s="34">
        <v>6.48</v>
      </c>
      <c r="J155" s="34">
        <v>28.16</v>
      </c>
      <c r="K155" s="34">
        <v>1.48</v>
      </c>
      <c r="L155" s="34">
        <v>49.56</v>
      </c>
      <c r="M155" s="34">
        <v>0.08</v>
      </c>
      <c r="N155" s="34">
        <v>0</v>
      </c>
      <c r="O155" s="61">
        <v>96.33</v>
      </c>
      <c r="P155" s="59"/>
      <c r="Q155" s="73"/>
      <c r="R155" s="73"/>
    </row>
    <row r="156" customHeight="1" spans="1:18">
      <c r="A156" s="27" t="s">
        <v>52</v>
      </c>
      <c r="B156" s="39">
        <v>2017</v>
      </c>
      <c r="C156" s="39">
        <v>49</v>
      </c>
      <c r="D156" s="39">
        <v>100</v>
      </c>
      <c r="E156" s="22">
        <v>2.598</v>
      </c>
      <c r="F156" s="22">
        <v>6.22</v>
      </c>
      <c r="G156" s="22">
        <v>22.149</v>
      </c>
      <c r="H156" s="22">
        <v>154.9</v>
      </c>
      <c r="I156" s="101">
        <v>7.481</v>
      </c>
      <c r="J156" s="101">
        <v>4.279</v>
      </c>
      <c r="K156" s="101">
        <v>0.348</v>
      </c>
      <c r="L156" s="101">
        <v>21.45</v>
      </c>
      <c r="M156" s="101">
        <v>0.27</v>
      </c>
      <c r="N156" s="101">
        <v>6.11666666666667</v>
      </c>
      <c r="O156" s="102">
        <v>35.6166666666667</v>
      </c>
      <c r="P156" s="59"/>
      <c r="Q156" s="73"/>
      <c r="R156" s="73"/>
    </row>
    <row r="157" customHeight="1" spans="1:18">
      <c r="A157" s="27" t="s">
        <v>28</v>
      </c>
      <c r="B157" s="39">
        <v>2017</v>
      </c>
      <c r="C157" s="39">
        <v>376</v>
      </c>
      <c r="D157" s="29">
        <v>200</v>
      </c>
      <c r="E157" s="22">
        <v>0.2</v>
      </c>
      <c r="F157" s="22">
        <v>0</v>
      </c>
      <c r="G157" s="22">
        <v>14</v>
      </c>
      <c r="H157" s="22">
        <v>28</v>
      </c>
      <c r="I157" s="22">
        <v>6</v>
      </c>
      <c r="J157" s="22">
        <v>0</v>
      </c>
      <c r="K157" s="22">
        <v>0.4</v>
      </c>
      <c r="L157" s="22">
        <v>0</v>
      </c>
      <c r="M157" s="22">
        <v>0</v>
      </c>
      <c r="N157" s="22">
        <v>0</v>
      </c>
      <c r="O157" s="22">
        <v>0</v>
      </c>
      <c r="P157" s="59"/>
      <c r="Q157" s="73"/>
      <c r="R157" s="73"/>
    </row>
    <row r="158" customHeight="1" spans="1:18">
      <c r="A158" s="31" t="s">
        <v>38</v>
      </c>
      <c r="B158" s="24" t="s">
        <v>27</v>
      </c>
      <c r="C158" s="24" t="s">
        <v>27</v>
      </c>
      <c r="D158" s="20">
        <v>20</v>
      </c>
      <c r="E158" s="22">
        <v>1.58</v>
      </c>
      <c r="F158" s="22">
        <v>0.2</v>
      </c>
      <c r="G158" s="22">
        <v>9.66</v>
      </c>
      <c r="H158" s="22">
        <v>46.76</v>
      </c>
      <c r="I158" s="22">
        <v>4.6</v>
      </c>
      <c r="J158" s="22">
        <v>6.6</v>
      </c>
      <c r="K158" s="22">
        <v>0.22</v>
      </c>
      <c r="L158" s="22">
        <v>17.4</v>
      </c>
      <c r="M158" s="22">
        <v>0.08</v>
      </c>
      <c r="N158" s="22">
        <v>0</v>
      </c>
      <c r="O158" s="52">
        <v>0</v>
      </c>
      <c r="P158" s="59"/>
      <c r="Q158" s="73"/>
      <c r="R158" s="73"/>
    </row>
    <row r="159" customHeight="1" spans="1:18">
      <c r="A159" s="31" t="s">
        <v>39</v>
      </c>
      <c r="B159" s="24" t="s">
        <v>27</v>
      </c>
      <c r="C159" s="24" t="s">
        <v>27</v>
      </c>
      <c r="D159" s="24">
        <v>40</v>
      </c>
      <c r="E159" s="22">
        <v>2.24</v>
      </c>
      <c r="F159" s="22">
        <v>0.44</v>
      </c>
      <c r="G159" s="22">
        <v>19.76</v>
      </c>
      <c r="H159" s="22">
        <v>91.96</v>
      </c>
      <c r="I159" s="22">
        <v>9.2</v>
      </c>
      <c r="J159" s="22">
        <v>10</v>
      </c>
      <c r="K159" s="22">
        <v>1.24</v>
      </c>
      <c r="L159" s="22">
        <v>42.4</v>
      </c>
      <c r="M159" s="22">
        <v>0.04</v>
      </c>
      <c r="N159" s="22">
        <v>0</v>
      </c>
      <c r="O159" s="52">
        <v>0</v>
      </c>
      <c r="P159" s="59"/>
      <c r="Q159" s="73"/>
      <c r="R159" s="73"/>
    </row>
    <row r="160" customHeight="1" spans="1:18">
      <c r="A160" s="77" t="s">
        <v>30</v>
      </c>
      <c r="B160" s="78"/>
      <c r="C160" s="78"/>
      <c r="D160" s="39">
        <f t="shared" ref="D160:O160" si="23">SUM(D152:D159)</f>
        <v>1180</v>
      </c>
      <c r="E160" s="22">
        <f t="shared" si="23"/>
        <v>31.0046666666667</v>
      </c>
      <c r="F160" s="22">
        <f t="shared" si="23"/>
        <v>36.9677777777778</v>
      </c>
      <c r="G160" s="22">
        <f t="shared" si="23"/>
        <v>130.962333333333</v>
      </c>
      <c r="H160" s="22">
        <f t="shared" si="23"/>
        <v>974.75</v>
      </c>
      <c r="I160" s="22">
        <f t="shared" si="23"/>
        <v>228.765444444444</v>
      </c>
      <c r="J160" s="22">
        <f t="shared" si="23"/>
        <v>118.263444444444</v>
      </c>
      <c r="K160" s="22">
        <f t="shared" si="23"/>
        <v>7.32022222222222</v>
      </c>
      <c r="L160" s="22">
        <f t="shared" si="23"/>
        <v>617.382698412698</v>
      </c>
      <c r="M160" s="22">
        <f t="shared" si="23"/>
        <v>0.757777777777778</v>
      </c>
      <c r="N160" s="22">
        <f t="shared" si="23"/>
        <v>21.2549206349206</v>
      </c>
      <c r="O160" s="52">
        <f t="shared" si="23"/>
        <v>399.385714285714</v>
      </c>
      <c r="P160" s="59"/>
      <c r="Q160" s="73"/>
      <c r="R160" s="73"/>
    </row>
    <row r="161" s="2" customFormat="1" customHeight="1" spans="1:18">
      <c r="A161" s="40" t="s">
        <v>41</v>
      </c>
      <c r="B161" s="41"/>
      <c r="C161" s="41"/>
      <c r="D161" s="46">
        <f>D160+D150</f>
        <v>1730</v>
      </c>
      <c r="E161" s="42">
        <f>E160+E150</f>
        <v>50.9296666666667</v>
      </c>
      <c r="F161" s="42">
        <f>F160+F150</f>
        <v>57.4311111111111</v>
      </c>
      <c r="G161" s="42">
        <f>G160+G150</f>
        <v>219.300666666667</v>
      </c>
      <c r="H161" s="42">
        <f>H160+H150</f>
        <v>1579.29</v>
      </c>
      <c r="I161" s="42">
        <f t="shared" ref="I161:O161" si="24">I160+I150</f>
        <v>673.208777777778</v>
      </c>
      <c r="J161" s="42">
        <f t="shared" si="24"/>
        <v>181.866777777778</v>
      </c>
      <c r="K161" s="42">
        <f t="shared" si="24"/>
        <v>9.73522222222222</v>
      </c>
      <c r="L161" s="42">
        <f t="shared" si="24"/>
        <v>890.554365079365</v>
      </c>
      <c r="M161" s="42">
        <f t="shared" si="24"/>
        <v>1.00277777777778</v>
      </c>
      <c r="N161" s="42">
        <f t="shared" si="24"/>
        <v>50.998253968254</v>
      </c>
      <c r="O161" s="62">
        <f t="shared" si="24"/>
        <v>468.053780952381</v>
      </c>
      <c r="P161" s="59"/>
      <c r="Q161" s="72"/>
      <c r="R161" s="72"/>
    </row>
    <row r="162" s="2" customFormat="1" ht="13.2" customHeight="1" spans="1:18">
      <c r="A162" s="47" t="s">
        <v>93</v>
      </c>
      <c r="B162" s="79"/>
      <c r="C162" s="79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57"/>
      <c r="Q162" s="72"/>
      <c r="R162" s="72"/>
    </row>
    <row r="163" s="2" customFormat="1" ht="13.2" customHeight="1" spans="1:18">
      <c r="A163" s="80" t="s">
        <v>23</v>
      </c>
      <c r="B163" s="81"/>
      <c r="C163" s="81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103"/>
      <c r="P163" s="59" t="s">
        <v>93</v>
      </c>
      <c r="Q163" s="72"/>
      <c r="R163" s="72"/>
    </row>
    <row r="164" ht="13.2" customHeight="1" spans="1:18">
      <c r="A164" s="31" t="s">
        <v>94</v>
      </c>
      <c r="B164" s="20">
        <v>2017</v>
      </c>
      <c r="C164" s="20">
        <v>174</v>
      </c>
      <c r="D164" s="29">
        <v>210</v>
      </c>
      <c r="E164" s="22">
        <f>10.46*250/200</f>
        <v>13.075</v>
      </c>
      <c r="F164" s="22">
        <f>15.3*250/200</f>
        <v>19.125</v>
      </c>
      <c r="G164" s="22">
        <f>23.02*250/200</f>
        <v>28.775</v>
      </c>
      <c r="H164" s="22">
        <v>332.3</v>
      </c>
      <c r="I164" s="22">
        <v>241.428571428571</v>
      </c>
      <c r="J164" s="22">
        <v>53.312380952381</v>
      </c>
      <c r="K164" s="22">
        <v>0.581904761904762</v>
      </c>
      <c r="L164" s="22">
        <v>82.9523809523809</v>
      </c>
      <c r="M164" s="22">
        <v>0.0371428571428571</v>
      </c>
      <c r="N164" s="22">
        <v>0</v>
      </c>
      <c r="O164" s="22">
        <v>28.2285714285714</v>
      </c>
      <c r="P164" s="59"/>
      <c r="Q164" s="73"/>
      <c r="R164" s="73"/>
    </row>
    <row r="165" ht="13.2" customHeight="1" spans="1:18">
      <c r="A165" s="82" t="s">
        <v>53</v>
      </c>
      <c r="B165" s="78">
        <v>2017</v>
      </c>
      <c r="C165" s="78">
        <v>377</v>
      </c>
      <c r="D165" s="29">
        <v>200</v>
      </c>
      <c r="E165" s="22">
        <v>0.13</v>
      </c>
      <c r="F165" s="22">
        <v>0.02</v>
      </c>
      <c r="G165" s="22">
        <v>10.25</v>
      </c>
      <c r="H165" s="22">
        <v>41.68</v>
      </c>
      <c r="I165" s="22">
        <v>14.05</v>
      </c>
      <c r="J165" s="22">
        <v>2.4</v>
      </c>
      <c r="K165" s="22">
        <v>0.38</v>
      </c>
      <c r="L165" s="22">
        <v>4.4</v>
      </c>
      <c r="M165" s="22">
        <v>0</v>
      </c>
      <c r="N165" s="22">
        <v>2.83</v>
      </c>
      <c r="O165" s="52">
        <v>0</v>
      </c>
      <c r="P165" s="59"/>
      <c r="Q165" s="73"/>
      <c r="R165" s="73"/>
    </row>
    <row r="166" ht="13.2" customHeight="1" spans="1:18">
      <c r="A166" s="83" t="s">
        <v>29</v>
      </c>
      <c r="B166" s="20" t="s">
        <v>27</v>
      </c>
      <c r="C166" s="20" t="s">
        <v>27</v>
      </c>
      <c r="D166" s="20">
        <v>30</v>
      </c>
      <c r="E166" s="39">
        <v>0.15</v>
      </c>
      <c r="F166" s="39">
        <v>0</v>
      </c>
      <c r="G166" s="39">
        <v>21.48</v>
      </c>
      <c r="H166" s="39">
        <v>86.52</v>
      </c>
      <c r="I166" s="39">
        <v>3.6</v>
      </c>
      <c r="J166" s="39">
        <v>2.7</v>
      </c>
      <c r="K166" s="39">
        <v>0.12</v>
      </c>
      <c r="L166" s="39">
        <v>5.4</v>
      </c>
      <c r="M166" s="39">
        <v>0</v>
      </c>
      <c r="N166" s="39">
        <v>0.72</v>
      </c>
      <c r="O166" s="68">
        <v>0</v>
      </c>
      <c r="P166" s="59"/>
      <c r="Q166" s="73"/>
      <c r="R166" s="73"/>
    </row>
    <row r="167" ht="13.2" customHeight="1" spans="1:18">
      <c r="A167" s="27" t="s">
        <v>26</v>
      </c>
      <c r="B167" s="39" t="s">
        <v>27</v>
      </c>
      <c r="C167" s="39" t="s">
        <v>27</v>
      </c>
      <c r="D167" s="29">
        <v>60</v>
      </c>
      <c r="E167" s="22">
        <v>4.74</v>
      </c>
      <c r="F167" s="22">
        <v>0.6</v>
      </c>
      <c r="G167" s="22">
        <v>28.98</v>
      </c>
      <c r="H167" s="22">
        <v>140.28</v>
      </c>
      <c r="I167" s="22">
        <v>13.8</v>
      </c>
      <c r="J167" s="22">
        <v>19.8</v>
      </c>
      <c r="K167" s="22">
        <v>0.66</v>
      </c>
      <c r="L167" s="22">
        <v>52.2</v>
      </c>
      <c r="M167" s="22">
        <v>0.1</v>
      </c>
      <c r="N167" s="22">
        <v>0</v>
      </c>
      <c r="O167" s="52">
        <v>0</v>
      </c>
      <c r="P167" s="59"/>
      <c r="Q167" s="73"/>
      <c r="R167" s="73"/>
    </row>
    <row r="168" ht="14.4" customHeight="1" spans="1:18">
      <c r="A168" s="77" t="s">
        <v>30</v>
      </c>
      <c r="B168" s="78"/>
      <c r="C168" s="78"/>
      <c r="D168" s="39">
        <v>550</v>
      </c>
      <c r="E168" s="22">
        <f t="shared" ref="E168:L168" si="25">SUM(E164:E167)</f>
        <v>18.095</v>
      </c>
      <c r="F168" s="22">
        <f t="shared" si="25"/>
        <v>19.745</v>
      </c>
      <c r="G168" s="22">
        <f t="shared" si="25"/>
        <v>89.485</v>
      </c>
      <c r="H168" s="22">
        <f t="shared" si="25"/>
        <v>600.78</v>
      </c>
      <c r="I168" s="22">
        <f t="shared" si="25"/>
        <v>272.878571428571</v>
      </c>
      <c r="J168" s="22">
        <f t="shared" si="25"/>
        <v>78.212380952381</v>
      </c>
      <c r="K168" s="22">
        <f t="shared" si="25"/>
        <v>1.74190476190476</v>
      </c>
      <c r="L168" s="22">
        <f t="shared" si="25"/>
        <v>144.952380952381</v>
      </c>
      <c r="M168" s="22">
        <v>0.137142857142857</v>
      </c>
      <c r="N168" s="22">
        <f>SUM(N164:N167)</f>
        <v>3.55</v>
      </c>
      <c r="O168" s="22">
        <v>28.2285714285714</v>
      </c>
      <c r="P168" s="59"/>
      <c r="Q168" s="73"/>
      <c r="R168" s="73"/>
    </row>
    <row r="169" ht="13.2" customHeight="1" spans="1:18">
      <c r="A169" s="30" t="s">
        <v>31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60"/>
      <c r="P169" s="59"/>
      <c r="Q169" s="73"/>
      <c r="R169" s="73"/>
    </row>
    <row r="170" ht="13.2" customHeight="1" spans="1:18">
      <c r="A170" s="23" t="s">
        <v>95</v>
      </c>
      <c r="B170" s="20">
        <v>2017</v>
      </c>
      <c r="C170" s="20">
        <v>97</v>
      </c>
      <c r="D170" s="85">
        <v>250</v>
      </c>
      <c r="E170" s="38">
        <v>2.3375</v>
      </c>
      <c r="F170" s="38">
        <v>2.825</v>
      </c>
      <c r="G170" s="38">
        <v>16.6375</v>
      </c>
      <c r="H170" s="38">
        <v>101.25</v>
      </c>
      <c r="I170" s="38">
        <v>25.85</v>
      </c>
      <c r="J170" s="38">
        <v>31.125</v>
      </c>
      <c r="K170" s="67">
        <v>1.175</v>
      </c>
      <c r="L170" s="39">
        <v>76.8</v>
      </c>
      <c r="M170" s="38">
        <v>0.11</v>
      </c>
      <c r="N170" s="38">
        <v>2</v>
      </c>
      <c r="O170" s="38">
        <v>0</v>
      </c>
      <c r="P170" s="59"/>
      <c r="Q170" s="73"/>
      <c r="R170" s="73"/>
    </row>
    <row r="171" ht="13.2" customHeight="1" spans="1:18">
      <c r="A171" s="23" t="s">
        <v>96</v>
      </c>
      <c r="B171" s="20">
        <v>2017</v>
      </c>
      <c r="C171" s="24">
        <v>226</v>
      </c>
      <c r="D171" s="94">
        <v>20</v>
      </c>
      <c r="E171" s="95">
        <v>3.508</v>
      </c>
      <c r="F171" s="95">
        <v>0.476</v>
      </c>
      <c r="G171" s="95">
        <v>0.062</v>
      </c>
      <c r="H171" s="95">
        <v>18.5</v>
      </c>
      <c r="I171" s="95">
        <v>3.376</v>
      </c>
      <c r="J171" s="95">
        <v>2.6</v>
      </c>
      <c r="K171" s="39">
        <v>0.14</v>
      </c>
      <c r="L171" s="95">
        <v>34.4</v>
      </c>
      <c r="M171" s="95">
        <v>0.018</v>
      </c>
      <c r="N171" s="95">
        <v>0.07</v>
      </c>
      <c r="O171" s="95">
        <v>1.71</v>
      </c>
      <c r="P171" s="59"/>
      <c r="Q171" s="73"/>
      <c r="R171" s="73"/>
    </row>
    <row r="172" ht="13.2" customHeight="1" spans="1:18">
      <c r="A172" s="23" t="s">
        <v>48</v>
      </c>
      <c r="B172" s="20">
        <v>2011</v>
      </c>
      <c r="C172" s="24">
        <v>106</v>
      </c>
      <c r="D172" s="94">
        <v>270</v>
      </c>
      <c r="E172" s="95">
        <v>1.5</v>
      </c>
      <c r="F172" s="95">
        <v>2.2</v>
      </c>
      <c r="G172" s="95">
        <v>13.6</v>
      </c>
      <c r="H172" s="95">
        <v>84.8</v>
      </c>
      <c r="I172" s="38">
        <v>25.85</v>
      </c>
      <c r="J172" s="38">
        <v>31.125</v>
      </c>
      <c r="K172" s="67">
        <v>1.175</v>
      </c>
      <c r="L172" s="39">
        <v>76.8</v>
      </c>
      <c r="M172" s="38">
        <v>0.11</v>
      </c>
      <c r="N172" s="38">
        <v>2</v>
      </c>
      <c r="O172" s="38">
        <v>0</v>
      </c>
      <c r="P172" s="59"/>
      <c r="Q172" s="73"/>
      <c r="R172" s="73"/>
    </row>
    <row r="173" ht="13.2" customHeight="1" spans="1:18">
      <c r="A173" s="23" t="s">
        <v>98</v>
      </c>
      <c r="B173" s="20">
        <v>2017</v>
      </c>
      <c r="C173" s="20">
        <v>290</v>
      </c>
      <c r="D173" s="21">
        <v>100</v>
      </c>
      <c r="E173" s="22">
        <v>11.84</v>
      </c>
      <c r="F173" s="22">
        <f>12.12*100/90</f>
        <v>13.4666666666667</v>
      </c>
      <c r="G173" s="22">
        <f>5.369*100/90</f>
        <v>5.96555555555556</v>
      </c>
      <c r="H173" s="22">
        <v>189.5</v>
      </c>
      <c r="I173" s="22">
        <v>43.2222222222222</v>
      </c>
      <c r="J173" s="22">
        <v>14.8888888888889</v>
      </c>
      <c r="K173" s="22">
        <v>1.01111111111111</v>
      </c>
      <c r="L173" s="22">
        <v>15.1111111111111</v>
      </c>
      <c r="M173" s="22">
        <v>0.0555555555555556</v>
      </c>
      <c r="N173" s="22">
        <v>1.6</v>
      </c>
      <c r="O173" s="52">
        <v>244.333333333333</v>
      </c>
      <c r="P173" s="59"/>
      <c r="Q173" s="73"/>
      <c r="R173" s="73"/>
    </row>
    <row r="174" ht="13.2" customHeight="1" spans="1:18">
      <c r="A174" s="23" t="s">
        <v>78</v>
      </c>
      <c r="B174" s="39">
        <v>2017</v>
      </c>
      <c r="C174" s="39">
        <v>312</v>
      </c>
      <c r="D174" s="85">
        <v>200</v>
      </c>
      <c r="E174" s="22">
        <v>4.08</v>
      </c>
      <c r="F174" s="22">
        <v>6.4</v>
      </c>
      <c r="G174" s="22">
        <v>27.2666666666667</v>
      </c>
      <c r="H174" s="22">
        <v>183</v>
      </c>
      <c r="I174" s="22">
        <v>49.3066666666667</v>
      </c>
      <c r="J174" s="22">
        <v>37</v>
      </c>
      <c r="K174" s="22">
        <v>1.34666666666667</v>
      </c>
      <c r="L174" s="22">
        <v>75.4666666666667</v>
      </c>
      <c r="M174" s="22">
        <v>0.14</v>
      </c>
      <c r="N174" s="22">
        <v>12.4933333333333</v>
      </c>
      <c r="O174" s="52">
        <v>34</v>
      </c>
      <c r="P174" s="59"/>
      <c r="Q174" s="73"/>
      <c r="R174" s="73"/>
    </row>
    <row r="175" ht="13.2" customHeight="1" spans="1:18">
      <c r="A175" s="23" t="s">
        <v>71</v>
      </c>
      <c r="B175" s="39">
        <v>2017</v>
      </c>
      <c r="C175" s="39">
        <v>52</v>
      </c>
      <c r="D175" s="85">
        <v>100</v>
      </c>
      <c r="E175" s="22">
        <v>1.43333333333333</v>
      </c>
      <c r="F175" s="22">
        <v>6.08333333333333</v>
      </c>
      <c r="G175" s="22">
        <v>8.36666666666667</v>
      </c>
      <c r="H175" s="22">
        <v>93.9</v>
      </c>
      <c r="I175" s="22">
        <v>35.15</v>
      </c>
      <c r="J175" s="22">
        <v>20.9</v>
      </c>
      <c r="K175" s="22">
        <v>1.33333333333333</v>
      </c>
      <c r="L175" s="87">
        <v>40.9666666666667</v>
      </c>
      <c r="M175" s="22">
        <v>0.0166666666666667</v>
      </c>
      <c r="N175" s="22">
        <v>3.42</v>
      </c>
      <c r="O175" s="68">
        <v>0</v>
      </c>
      <c r="P175" s="59"/>
      <c r="Q175" s="73"/>
      <c r="R175" s="73"/>
    </row>
    <row r="176" ht="13.2" customHeight="1" spans="1:18">
      <c r="A176" s="23" t="s">
        <v>99</v>
      </c>
      <c r="B176" s="24">
        <v>2008</v>
      </c>
      <c r="C176" s="24">
        <v>436</v>
      </c>
      <c r="D176" s="85">
        <v>200</v>
      </c>
      <c r="E176" s="39">
        <v>0.18</v>
      </c>
      <c r="F176" s="39">
        <v>0.02</v>
      </c>
      <c r="G176" s="39">
        <v>27.46</v>
      </c>
      <c r="H176" s="39">
        <v>94.58</v>
      </c>
      <c r="I176" s="39">
        <v>16.3</v>
      </c>
      <c r="J176" s="39">
        <v>4.1</v>
      </c>
      <c r="K176" s="39">
        <v>0.18</v>
      </c>
      <c r="L176" s="39">
        <v>4.4</v>
      </c>
      <c r="M176" s="39">
        <v>0.03</v>
      </c>
      <c r="N176" s="39">
        <v>25.5</v>
      </c>
      <c r="O176" s="39">
        <v>0.1</v>
      </c>
      <c r="P176" s="59"/>
      <c r="Q176" s="73"/>
      <c r="R176" s="73"/>
    </row>
    <row r="177" ht="13.2" customHeight="1" spans="1:18">
      <c r="A177" s="19" t="s">
        <v>38</v>
      </c>
      <c r="B177" s="20" t="s">
        <v>27</v>
      </c>
      <c r="C177" s="20" t="s">
        <v>27</v>
      </c>
      <c r="D177" s="35">
        <v>20</v>
      </c>
      <c r="E177" s="22">
        <v>1.58</v>
      </c>
      <c r="F177" s="22">
        <v>0.2</v>
      </c>
      <c r="G177" s="22">
        <v>9.66</v>
      </c>
      <c r="H177" s="22">
        <v>46.76</v>
      </c>
      <c r="I177" s="22">
        <v>4.6</v>
      </c>
      <c r="J177" s="22">
        <v>6.6</v>
      </c>
      <c r="K177" s="22">
        <v>0.22</v>
      </c>
      <c r="L177" s="22">
        <v>17.4</v>
      </c>
      <c r="M177" s="22">
        <v>0.08</v>
      </c>
      <c r="N177" s="22">
        <v>0</v>
      </c>
      <c r="O177" s="52">
        <v>0</v>
      </c>
      <c r="P177" s="59"/>
      <c r="Q177" s="73"/>
      <c r="R177" s="73"/>
    </row>
    <row r="178" ht="13.2" customHeight="1" spans="1:18">
      <c r="A178" s="19" t="s">
        <v>39</v>
      </c>
      <c r="B178" s="39" t="s">
        <v>27</v>
      </c>
      <c r="C178" s="39" t="s">
        <v>27</v>
      </c>
      <c r="D178" s="36">
        <v>40</v>
      </c>
      <c r="E178" s="22">
        <v>2.24</v>
      </c>
      <c r="F178" s="22">
        <v>0.44</v>
      </c>
      <c r="G178" s="22">
        <v>19.76</v>
      </c>
      <c r="H178" s="22">
        <v>91.96</v>
      </c>
      <c r="I178" s="22">
        <v>9.2</v>
      </c>
      <c r="J178" s="22">
        <v>10</v>
      </c>
      <c r="K178" s="22">
        <v>1.24</v>
      </c>
      <c r="L178" s="22">
        <v>42.4</v>
      </c>
      <c r="M178" s="22">
        <v>0.04</v>
      </c>
      <c r="N178" s="22">
        <v>0</v>
      </c>
      <c r="O178" s="52">
        <v>0</v>
      </c>
      <c r="P178" s="59"/>
      <c r="Q178" s="73"/>
      <c r="R178" s="73"/>
    </row>
    <row r="179" ht="12" customHeight="1" spans="1:18">
      <c r="A179" s="77" t="s">
        <v>30</v>
      </c>
      <c r="B179" s="78"/>
      <c r="C179" s="78"/>
      <c r="D179" s="39">
        <f t="shared" ref="D179:O179" si="26">SUM(D170:D178)</f>
        <v>1200</v>
      </c>
      <c r="E179" s="22">
        <f t="shared" si="26"/>
        <v>28.6988333333333</v>
      </c>
      <c r="F179" s="22">
        <f t="shared" si="26"/>
        <v>32.111</v>
      </c>
      <c r="G179" s="22">
        <f t="shared" si="26"/>
        <v>128.778388888889</v>
      </c>
      <c r="H179" s="22">
        <f t="shared" si="26"/>
        <v>904.25</v>
      </c>
      <c r="I179" s="22">
        <f t="shared" si="26"/>
        <v>212.854888888889</v>
      </c>
      <c r="J179" s="22">
        <f t="shared" si="26"/>
        <v>158.338888888889</v>
      </c>
      <c r="K179" s="22">
        <f t="shared" si="26"/>
        <v>7.82111111111111</v>
      </c>
      <c r="L179" s="22">
        <f t="shared" si="26"/>
        <v>383.744444444444</v>
      </c>
      <c r="M179" s="22">
        <f t="shared" si="26"/>
        <v>0.600222222222222</v>
      </c>
      <c r="N179" s="22">
        <f t="shared" si="26"/>
        <v>47.0833333333333</v>
      </c>
      <c r="O179" s="22">
        <f t="shared" si="26"/>
        <v>280.143333333333</v>
      </c>
      <c r="P179" s="59"/>
      <c r="Q179" s="73"/>
      <c r="R179" s="73"/>
    </row>
    <row r="180" s="2" customFormat="1" ht="12" customHeight="1" spans="1:18">
      <c r="A180" s="40" t="s">
        <v>41</v>
      </c>
      <c r="B180" s="41"/>
      <c r="C180" s="41"/>
      <c r="D180" s="46">
        <f t="shared" ref="D180:L180" si="27">D168+D179</f>
        <v>1750</v>
      </c>
      <c r="E180" s="42">
        <f t="shared" si="27"/>
        <v>46.7938333333333</v>
      </c>
      <c r="F180" s="42">
        <f t="shared" si="27"/>
        <v>51.856</v>
      </c>
      <c r="G180" s="42">
        <f t="shared" si="27"/>
        <v>218.263388888889</v>
      </c>
      <c r="H180" s="42">
        <f t="shared" si="27"/>
        <v>1505.03</v>
      </c>
      <c r="I180" s="42">
        <f t="shared" si="27"/>
        <v>485.73346031746</v>
      </c>
      <c r="J180" s="42">
        <f t="shared" si="27"/>
        <v>236.55126984127</v>
      </c>
      <c r="K180" s="42">
        <f t="shared" si="27"/>
        <v>9.56301587301587</v>
      </c>
      <c r="L180" s="42">
        <f t="shared" si="27"/>
        <v>528.696825396825</v>
      </c>
      <c r="M180" s="42">
        <f>M179+M168</f>
        <v>0.737365079365079</v>
      </c>
      <c r="N180" s="42">
        <f>N168+N179</f>
        <v>50.6333333333333</v>
      </c>
      <c r="O180" s="42">
        <f>O168+O179</f>
        <v>308.371904761905</v>
      </c>
      <c r="P180" s="59"/>
      <c r="Q180" s="72"/>
      <c r="R180" s="72"/>
    </row>
    <row r="181" s="2" customFormat="1" spans="1:18">
      <c r="A181" s="47" t="s">
        <v>100</v>
      </c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57"/>
      <c r="Q181" s="72"/>
      <c r="R181" s="72"/>
    </row>
    <row r="182" s="2" customFormat="1" spans="1:18">
      <c r="A182" s="48" t="s">
        <v>23</v>
      </c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60"/>
      <c r="P182" s="59" t="s">
        <v>100</v>
      </c>
      <c r="Q182" s="72"/>
      <c r="R182" s="72"/>
    </row>
    <row r="183" ht="26.4" customHeight="1" spans="1:18">
      <c r="A183" s="19" t="s">
        <v>24</v>
      </c>
      <c r="B183" s="20">
        <v>2017</v>
      </c>
      <c r="C183" s="20">
        <v>173</v>
      </c>
      <c r="D183" s="21">
        <v>260</v>
      </c>
      <c r="E183" s="22">
        <v>10.29</v>
      </c>
      <c r="F183" s="22">
        <v>14.18</v>
      </c>
      <c r="G183" s="22">
        <v>27.39</v>
      </c>
      <c r="H183" s="22">
        <v>271.49</v>
      </c>
      <c r="I183" s="22">
        <v>196.42380952381</v>
      </c>
      <c r="J183" s="22">
        <v>89.2047619047619</v>
      </c>
      <c r="K183" s="22">
        <v>1.74571428571429</v>
      </c>
      <c r="L183" s="22">
        <v>82.172380952381</v>
      </c>
      <c r="M183" s="22">
        <v>0.26</v>
      </c>
      <c r="N183" s="22">
        <v>0.656190476190476</v>
      </c>
      <c r="O183" s="22">
        <v>21.8771428571429</v>
      </c>
      <c r="P183" s="59"/>
      <c r="Q183" s="73"/>
      <c r="R183" s="73"/>
    </row>
    <row r="184" spans="1:18">
      <c r="A184" s="27" t="s">
        <v>25</v>
      </c>
      <c r="B184" s="20">
        <v>2017</v>
      </c>
      <c r="C184" s="20">
        <v>15</v>
      </c>
      <c r="D184" s="29">
        <v>15</v>
      </c>
      <c r="E184" s="22">
        <v>3.48</v>
      </c>
      <c r="F184" s="22">
        <v>4.43</v>
      </c>
      <c r="G184" s="22">
        <v>0</v>
      </c>
      <c r="H184" s="22">
        <v>54.6</v>
      </c>
      <c r="I184" s="22">
        <v>132</v>
      </c>
      <c r="J184" s="22">
        <v>5.25</v>
      </c>
      <c r="K184" s="22">
        <v>0.15</v>
      </c>
      <c r="L184" s="22">
        <v>75</v>
      </c>
      <c r="M184" s="22">
        <v>0.01</v>
      </c>
      <c r="N184" s="22">
        <v>0.11</v>
      </c>
      <c r="O184" s="52">
        <v>39</v>
      </c>
      <c r="P184" s="59"/>
      <c r="Q184" s="73"/>
      <c r="R184" s="73"/>
    </row>
    <row r="185" spans="1:18">
      <c r="A185" s="27" t="s">
        <v>26</v>
      </c>
      <c r="B185" s="20" t="s">
        <v>27</v>
      </c>
      <c r="C185" s="20" t="s">
        <v>27</v>
      </c>
      <c r="D185" s="29">
        <v>60</v>
      </c>
      <c r="E185" s="22">
        <v>4.74</v>
      </c>
      <c r="F185" s="22">
        <v>0.6</v>
      </c>
      <c r="G185" s="22">
        <v>28.98</v>
      </c>
      <c r="H185" s="22">
        <v>140.28</v>
      </c>
      <c r="I185" s="22">
        <v>13.8</v>
      </c>
      <c r="J185" s="22">
        <v>19.8</v>
      </c>
      <c r="K185" s="22">
        <v>0.66</v>
      </c>
      <c r="L185" s="22">
        <v>52.2</v>
      </c>
      <c r="M185" s="22">
        <v>0.1</v>
      </c>
      <c r="N185" s="22">
        <v>0</v>
      </c>
      <c r="O185" s="52">
        <v>0</v>
      </c>
      <c r="P185" s="59"/>
      <c r="Q185" s="73"/>
      <c r="R185" s="73"/>
    </row>
    <row r="186" spans="1:18">
      <c r="A186" s="49" t="s">
        <v>56</v>
      </c>
      <c r="B186" s="96" t="s">
        <v>27</v>
      </c>
      <c r="C186" s="96" t="s">
        <v>27</v>
      </c>
      <c r="D186" s="51">
        <v>20</v>
      </c>
      <c r="E186" s="97">
        <v>0.38</v>
      </c>
      <c r="F186" s="97">
        <v>1.08</v>
      </c>
      <c r="G186" s="97">
        <v>6.41</v>
      </c>
      <c r="H186" s="97">
        <v>35.27</v>
      </c>
      <c r="I186" s="97">
        <v>8.2</v>
      </c>
      <c r="J186" s="97">
        <v>3</v>
      </c>
      <c r="K186" s="97">
        <v>0.2</v>
      </c>
      <c r="L186" s="97">
        <v>17.4</v>
      </c>
      <c r="M186" s="97">
        <v>0.02</v>
      </c>
      <c r="N186" s="97">
        <v>0</v>
      </c>
      <c r="O186" s="104">
        <v>14.82</v>
      </c>
      <c r="P186" s="59"/>
      <c r="Q186" s="73"/>
      <c r="R186" s="73"/>
    </row>
    <row r="187" s="3" customFormat="1" ht="14.4" customHeight="1" spans="1:18">
      <c r="A187" s="31" t="s">
        <v>45</v>
      </c>
      <c r="B187" s="39">
        <v>2017</v>
      </c>
      <c r="C187" s="39">
        <v>379</v>
      </c>
      <c r="D187" s="29">
        <v>200</v>
      </c>
      <c r="E187" s="39">
        <v>3.6</v>
      </c>
      <c r="F187" s="39">
        <v>2.67</v>
      </c>
      <c r="G187" s="39">
        <v>29.2</v>
      </c>
      <c r="H187" s="39">
        <v>155.2</v>
      </c>
      <c r="I187" s="39">
        <v>158.67</v>
      </c>
      <c r="J187" s="39">
        <v>16.8</v>
      </c>
      <c r="K187" s="39">
        <v>0.22</v>
      </c>
      <c r="L187" s="39">
        <v>82.4</v>
      </c>
      <c r="M187" s="39">
        <v>0.07</v>
      </c>
      <c r="N187" s="39">
        <v>1.17</v>
      </c>
      <c r="O187" s="68">
        <v>6.84</v>
      </c>
      <c r="P187" s="59"/>
      <c r="Q187" s="74"/>
      <c r="R187" s="74"/>
    </row>
    <row r="188" spans="1:18">
      <c r="A188" s="77" t="s">
        <v>30</v>
      </c>
      <c r="B188" s="78"/>
      <c r="C188" s="78"/>
      <c r="D188" s="22">
        <v>555</v>
      </c>
      <c r="E188" s="22">
        <f>SUM(E183:E187)</f>
        <v>22.49</v>
      </c>
      <c r="F188" s="22">
        <f>SUM(F183:F187)</f>
        <v>22.96</v>
      </c>
      <c r="G188" s="22">
        <f>SUM(G183:G187)</f>
        <v>91.98</v>
      </c>
      <c r="H188" s="22">
        <f>SUM(H183:H187)</f>
        <v>656.84</v>
      </c>
      <c r="I188" s="22">
        <v>509.093809523809</v>
      </c>
      <c r="J188" s="22">
        <v>134.054761904762</v>
      </c>
      <c r="K188" s="22">
        <v>3.81761904761905</v>
      </c>
      <c r="L188" s="22">
        <v>309.172380952381</v>
      </c>
      <c r="M188" s="22">
        <v>0.447619047619048</v>
      </c>
      <c r="N188" s="22">
        <f>SUM(N183:N187)</f>
        <v>1.93619047619048</v>
      </c>
      <c r="O188" s="52">
        <f>SUM(O183:O187)</f>
        <v>82.5371428571429</v>
      </c>
      <c r="P188" s="59"/>
      <c r="Q188" s="73"/>
      <c r="R188" s="73"/>
    </row>
    <row r="189" s="3" customFormat="1" spans="1:18">
      <c r="A189" s="30" t="s">
        <v>31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60"/>
      <c r="P189" s="59"/>
      <c r="Q189" s="74"/>
      <c r="R189" s="74"/>
    </row>
    <row r="190" s="3" customFormat="1" ht="16.2" customHeight="1" spans="1:18">
      <c r="A190" s="19" t="s">
        <v>101</v>
      </c>
      <c r="B190" s="20">
        <v>2017</v>
      </c>
      <c r="C190" s="20">
        <v>92</v>
      </c>
      <c r="D190" s="21">
        <v>260</v>
      </c>
      <c r="E190" s="22">
        <v>1.6375</v>
      </c>
      <c r="F190" s="22">
        <v>4.9175</v>
      </c>
      <c r="G190" s="22">
        <v>6.2725</v>
      </c>
      <c r="H190" s="22">
        <v>81.5</v>
      </c>
      <c r="I190" s="22">
        <v>47.325</v>
      </c>
      <c r="J190" s="22">
        <v>20.425</v>
      </c>
      <c r="K190" s="22">
        <v>0.775</v>
      </c>
      <c r="L190" s="22">
        <v>44.275</v>
      </c>
      <c r="M190" s="22">
        <v>0.025</v>
      </c>
      <c r="N190" s="22">
        <v>6.075</v>
      </c>
      <c r="O190" s="52">
        <v>0</v>
      </c>
      <c r="P190" s="59"/>
      <c r="Q190" s="74"/>
      <c r="R190" s="74"/>
    </row>
    <row r="191" s="3" customFormat="1" spans="1:18">
      <c r="A191" s="19" t="s">
        <v>33</v>
      </c>
      <c r="B191" s="20">
        <v>2017</v>
      </c>
      <c r="C191" s="20">
        <v>288</v>
      </c>
      <c r="D191" s="26">
        <v>10</v>
      </c>
      <c r="E191" s="22">
        <v>2.11</v>
      </c>
      <c r="F191" s="22">
        <v>1.36</v>
      </c>
      <c r="G191" s="22">
        <v>0</v>
      </c>
      <c r="H191" s="22">
        <v>20.67</v>
      </c>
      <c r="I191" s="22">
        <v>3.9</v>
      </c>
      <c r="J191" s="22">
        <v>2</v>
      </c>
      <c r="K191" s="22">
        <v>0.18</v>
      </c>
      <c r="L191" s="22">
        <v>14.3</v>
      </c>
      <c r="M191" s="22">
        <v>0.04</v>
      </c>
      <c r="N191" s="22">
        <v>0</v>
      </c>
      <c r="O191" s="52">
        <v>2.28</v>
      </c>
      <c r="P191" s="59"/>
      <c r="Q191" s="74"/>
      <c r="R191" s="74"/>
    </row>
    <row r="192" s="3" customFormat="1" spans="1:18">
      <c r="A192" s="19" t="s">
        <v>102</v>
      </c>
      <c r="B192" s="20">
        <v>2017</v>
      </c>
      <c r="C192" s="20">
        <v>115</v>
      </c>
      <c r="D192" s="26">
        <v>260</v>
      </c>
      <c r="E192" s="22">
        <v>1.7</v>
      </c>
      <c r="F192" s="22">
        <v>2.8</v>
      </c>
      <c r="G192" s="22">
        <v>4.7</v>
      </c>
      <c r="H192" s="22">
        <v>72.1</v>
      </c>
      <c r="I192" s="22">
        <v>38.08</v>
      </c>
      <c r="J192" s="22">
        <v>35.3</v>
      </c>
      <c r="K192" s="22">
        <v>2.03</v>
      </c>
      <c r="L192" s="22">
        <v>87.18</v>
      </c>
      <c r="M192" s="22">
        <v>0.08</v>
      </c>
      <c r="N192" s="22">
        <v>5.81</v>
      </c>
      <c r="O192" s="52">
        <v>0</v>
      </c>
      <c r="P192" s="59"/>
      <c r="Q192" s="74"/>
      <c r="R192" s="74"/>
    </row>
    <row r="193" s="3" customFormat="1" ht="12.6" customHeight="1" spans="1:18">
      <c r="A193" s="45" t="s">
        <v>68</v>
      </c>
      <c r="B193" s="24">
        <v>2017</v>
      </c>
      <c r="C193" s="24" t="s">
        <v>69</v>
      </c>
      <c r="D193" s="39">
        <v>100</v>
      </c>
      <c r="E193" s="22">
        <v>13.58</v>
      </c>
      <c r="F193" s="22">
        <v>10.58</v>
      </c>
      <c r="G193" s="22">
        <f>11.66*100/90</f>
        <v>12.9555555555556</v>
      </c>
      <c r="H193" s="22">
        <v>198.12</v>
      </c>
      <c r="I193" s="22">
        <v>182.088888888888</v>
      </c>
      <c r="J193" s="22">
        <v>20.8555555555556</v>
      </c>
      <c r="K193" s="22">
        <v>1.2</v>
      </c>
      <c r="L193" s="22">
        <v>47.9888888888889</v>
      </c>
      <c r="M193" s="22">
        <v>0.111111111111111</v>
      </c>
      <c r="N193" s="22">
        <v>0.111111111111111</v>
      </c>
      <c r="O193" s="52">
        <v>268.5</v>
      </c>
      <c r="P193" s="59"/>
      <c r="Q193" s="74"/>
      <c r="R193" s="74"/>
    </row>
    <row r="194" s="3" customFormat="1" ht="14.4" customHeight="1" spans="1:18">
      <c r="A194" s="23" t="s">
        <v>103</v>
      </c>
      <c r="B194" s="39">
        <v>2017</v>
      </c>
      <c r="C194" s="39">
        <v>321</v>
      </c>
      <c r="D194" s="21">
        <v>200</v>
      </c>
      <c r="E194" s="22">
        <v>3.71</v>
      </c>
      <c r="F194" s="22">
        <f>6.48*200/150</f>
        <v>8.64</v>
      </c>
      <c r="G194" s="22">
        <f>34.52*200/150</f>
        <v>46.0266666666667</v>
      </c>
      <c r="H194" s="22">
        <v>265.2</v>
      </c>
      <c r="I194" s="22">
        <v>29.28</v>
      </c>
      <c r="J194" s="22">
        <v>58.6533333333333</v>
      </c>
      <c r="K194" s="22">
        <v>2.30666666666667</v>
      </c>
      <c r="L194" s="22">
        <v>159.453333333333</v>
      </c>
      <c r="M194" s="22">
        <v>0.306666666666667</v>
      </c>
      <c r="N194" s="22">
        <v>42</v>
      </c>
      <c r="O194" s="52">
        <v>47.88</v>
      </c>
      <c r="P194" s="59"/>
      <c r="Q194" s="74"/>
      <c r="R194" s="74"/>
    </row>
    <row r="195" s="3" customFormat="1" ht="14.4" customHeight="1" spans="1:18">
      <c r="A195" s="19" t="s">
        <v>37</v>
      </c>
      <c r="B195" s="24">
        <v>2017</v>
      </c>
      <c r="C195" s="24">
        <v>71</v>
      </c>
      <c r="D195" s="33">
        <v>60</v>
      </c>
      <c r="E195" s="34">
        <v>2.16</v>
      </c>
      <c r="F195" s="34">
        <v>4.04</v>
      </c>
      <c r="G195" s="34">
        <v>1.01</v>
      </c>
      <c r="H195" s="34">
        <v>48.79</v>
      </c>
      <c r="I195" s="34">
        <v>13.8</v>
      </c>
      <c r="J195" s="34">
        <v>7</v>
      </c>
      <c r="K195" s="34">
        <v>0.42</v>
      </c>
      <c r="L195" s="34">
        <v>12</v>
      </c>
      <c r="M195" s="34">
        <v>0</v>
      </c>
      <c r="N195" s="34">
        <v>14.4</v>
      </c>
      <c r="O195" s="61">
        <v>0</v>
      </c>
      <c r="P195" s="59"/>
      <c r="Q195" s="74"/>
      <c r="R195" s="74"/>
    </row>
    <row r="196" s="3" customFormat="1" ht="14.4" customHeight="1" spans="1:18">
      <c r="A196" s="23" t="s">
        <v>72</v>
      </c>
      <c r="B196" s="39">
        <v>2017</v>
      </c>
      <c r="C196" s="39">
        <v>342</v>
      </c>
      <c r="D196" s="21">
        <v>200</v>
      </c>
      <c r="E196" s="22">
        <v>0.2</v>
      </c>
      <c r="F196" s="22">
        <v>0.2</v>
      </c>
      <c r="G196" s="22">
        <v>22.3</v>
      </c>
      <c r="H196" s="22">
        <v>110</v>
      </c>
      <c r="I196" s="22">
        <v>12</v>
      </c>
      <c r="J196" s="22">
        <v>0</v>
      </c>
      <c r="K196" s="22">
        <v>0.8</v>
      </c>
      <c r="L196" s="22">
        <v>2.4</v>
      </c>
      <c r="M196" s="22">
        <v>0.02</v>
      </c>
      <c r="N196" s="22">
        <v>0</v>
      </c>
      <c r="O196" s="52">
        <v>0</v>
      </c>
      <c r="P196" s="59"/>
      <c r="Q196" s="74"/>
      <c r="R196" s="74"/>
    </row>
    <row r="197" s="3" customFormat="1" spans="1:18">
      <c r="A197" s="19" t="s">
        <v>38</v>
      </c>
      <c r="B197" s="20" t="s">
        <v>27</v>
      </c>
      <c r="C197" s="20" t="s">
        <v>27</v>
      </c>
      <c r="D197" s="26">
        <v>20</v>
      </c>
      <c r="E197" s="22">
        <v>1.58</v>
      </c>
      <c r="F197" s="22">
        <v>0.2</v>
      </c>
      <c r="G197" s="22">
        <v>9.66</v>
      </c>
      <c r="H197" s="22">
        <v>46.76</v>
      </c>
      <c r="I197" s="22">
        <v>4.6</v>
      </c>
      <c r="J197" s="22">
        <v>6.6</v>
      </c>
      <c r="K197" s="22">
        <v>0.22</v>
      </c>
      <c r="L197" s="22">
        <v>17.4</v>
      </c>
      <c r="M197" s="22">
        <v>0.08</v>
      </c>
      <c r="N197" s="22">
        <v>0</v>
      </c>
      <c r="O197" s="52">
        <v>0</v>
      </c>
      <c r="P197" s="59"/>
      <c r="Q197" s="74"/>
      <c r="R197" s="74"/>
    </row>
    <row r="198" s="3" customFormat="1" spans="1:18">
      <c r="A198" s="31" t="s">
        <v>39</v>
      </c>
      <c r="B198" s="20" t="s">
        <v>27</v>
      </c>
      <c r="C198" s="20" t="s">
        <v>27</v>
      </c>
      <c r="D198" s="105">
        <v>40</v>
      </c>
      <c r="E198" s="22">
        <v>2.24</v>
      </c>
      <c r="F198" s="22">
        <v>0.44</v>
      </c>
      <c r="G198" s="22">
        <v>19.76</v>
      </c>
      <c r="H198" s="22">
        <v>91.96</v>
      </c>
      <c r="I198" s="22">
        <v>9.2</v>
      </c>
      <c r="J198" s="22">
        <v>10</v>
      </c>
      <c r="K198" s="22">
        <v>1.24</v>
      </c>
      <c r="L198" s="22">
        <v>42.4</v>
      </c>
      <c r="M198" s="22">
        <v>0.04</v>
      </c>
      <c r="N198" s="22">
        <v>0</v>
      </c>
      <c r="O198" s="52">
        <v>0</v>
      </c>
      <c r="P198" s="59"/>
      <c r="Q198" s="74"/>
      <c r="R198" s="74"/>
    </row>
    <row r="199" spans="1:18">
      <c r="A199" s="77" t="s">
        <v>30</v>
      </c>
      <c r="B199" s="78"/>
      <c r="C199" s="78"/>
      <c r="D199" s="39">
        <f t="shared" ref="D199:O199" si="28">SUM(D190:D198)</f>
        <v>1150</v>
      </c>
      <c r="E199" s="22">
        <f t="shared" si="28"/>
        <v>28.9175</v>
      </c>
      <c r="F199" s="22">
        <f t="shared" si="28"/>
        <v>33.1775</v>
      </c>
      <c r="G199" s="22">
        <f t="shared" si="28"/>
        <v>122.684722222222</v>
      </c>
      <c r="H199" s="22">
        <f t="shared" si="28"/>
        <v>935.1</v>
      </c>
      <c r="I199" s="22">
        <f t="shared" si="28"/>
        <v>340.273888888888</v>
      </c>
      <c r="J199" s="22">
        <f t="shared" si="28"/>
        <v>160.833888888889</v>
      </c>
      <c r="K199" s="22">
        <f t="shared" si="28"/>
        <v>9.17166666666667</v>
      </c>
      <c r="L199" s="22">
        <f t="shared" si="28"/>
        <v>427.397222222222</v>
      </c>
      <c r="M199" s="22">
        <f t="shared" si="28"/>
        <v>0.702777777777778</v>
      </c>
      <c r="N199" s="22">
        <f t="shared" si="28"/>
        <v>68.3961111111111</v>
      </c>
      <c r="O199" s="52">
        <f t="shared" si="28"/>
        <v>318.66</v>
      </c>
      <c r="P199" s="59"/>
      <c r="Q199" s="73"/>
      <c r="R199" s="73"/>
    </row>
    <row r="200" s="2" customFormat="1" spans="1:18">
      <c r="A200" s="40" t="s">
        <v>41</v>
      </c>
      <c r="B200" s="41"/>
      <c r="C200" s="41"/>
      <c r="D200" s="42">
        <f t="shared" ref="D200:O200" si="29">D199+D188</f>
        <v>1705</v>
      </c>
      <c r="E200" s="42">
        <f t="shared" si="29"/>
        <v>51.4075</v>
      </c>
      <c r="F200" s="42">
        <f t="shared" si="29"/>
        <v>56.1375</v>
      </c>
      <c r="G200" s="42">
        <f t="shared" si="29"/>
        <v>214.664722222222</v>
      </c>
      <c r="H200" s="42">
        <f t="shared" si="29"/>
        <v>1591.94</v>
      </c>
      <c r="I200" s="42">
        <f t="shared" si="29"/>
        <v>849.367698412697</v>
      </c>
      <c r="J200" s="42">
        <f t="shared" si="29"/>
        <v>294.888650793651</v>
      </c>
      <c r="K200" s="42">
        <f t="shared" si="29"/>
        <v>12.9892857142857</v>
      </c>
      <c r="L200" s="42">
        <f t="shared" si="29"/>
        <v>736.569603174603</v>
      </c>
      <c r="M200" s="42">
        <f t="shared" si="29"/>
        <v>1.15039682539683</v>
      </c>
      <c r="N200" s="42">
        <f t="shared" si="29"/>
        <v>70.3323015873016</v>
      </c>
      <c r="O200" s="62">
        <f t="shared" si="29"/>
        <v>401.197142857143</v>
      </c>
      <c r="P200" s="59"/>
      <c r="Q200" s="72"/>
      <c r="R200" s="72"/>
    </row>
    <row r="201" s="2" customFormat="1" ht="12" customHeight="1" spans="1:18">
      <c r="A201" s="47" t="s">
        <v>104</v>
      </c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65" t="s">
        <v>104</v>
      </c>
      <c r="Q201" s="72"/>
      <c r="R201" s="72"/>
    </row>
    <row r="202" s="2" customFormat="1" ht="12" customHeight="1" spans="1:18">
      <c r="A202" s="48" t="s">
        <v>105</v>
      </c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60"/>
      <c r="P202" s="66"/>
      <c r="Q202" s="72"/>
      <c r="R202" s="72"/>
    </row>
    <row r="203" s="2" customFormat="1" ht="25.2" customHeight="1" spans="1:18">
      <c r="A203" s="31" t="s">
        <v>111</v>
      </c>
      <c r="B203" s="24">
        <v>2017</v>
      </c>
      <c r="C203" s="39">
        <v>183</v>
      </c>
      <c r="D203" s="39">
        <v>260</v>
      </c>
      <c r="E203" s="22">
        <v>9.83</v>
      </c>
      <c r="F203" s="22">
        <f>11.58*250/200</f>
        <v>14.475</v>
      </c>
      <c r="G203" s="22">
        <f>7.86*250/200</f>
        <v>9.825</v>
      </c>
      <c r="H203" s="22">
        <v>206.44</v>
      </c>
      <c r="I203" s="22">
        <v>239.819047619048</v>
      </c>
      <c r="J203" s="22">
        <v>53.3619047619048</v>
      </c>
      <c r="K203" s="22">
        <v>1.63428571428571</v>
      </c>
      <c r="L203" s="22">
        <v>182.866666666667</v>
      </c>
      <c r="M203" s="22">
        <v>0.185714285714286</v>
      </c>
      <c r="N203" s="22">
        <v>0</v>
      </c>
      <c r="O203" s="22">
        <v>28.2285714285714</v>
      </c>
      <c r="P203" s="66"/>
      <c r="Q203" s="72"/>
      <c r="R203" s="72"/>
    </row>
    <row r="204" ht="16.2" customHeight="1" spans="1:18">
      <c r="A204" s="27" t="s">
        <v>26</v>
      </c>
      <c r="B204" s="20" t="s">
        <v>27</v>
      </c>
      <c r="C204" s="20" t="s">
        <v>27</v>
      </c>
      <c r="D204" s="29">
        <v>60</v>
      </c>
      <c r="E204" s="22">
        <v>4.74</v>
      </c>
      <c r="F204" s="22">
        <v>0.6</v>
      </c>
      <c r="G204" s="22">
        <v>28.98</v>
      </c>
      <c r="H204" s="22">
        <v>140.28</v>
      </c>
      <c r="I204" s="22">
        <v>13.8</v>
      </c>
      <c r="J204" s="22">
        <v>19.8</v>
      </c>
      <c r="K204" s="22">
        <v>0.66</v>
      </c>
      <c r="L204" s="22">
        <v>52.2</v>
      </c>
      <c r="M204" s="22">
        <v>0.1</v>
      </c>
      <c r="N204" s="22">
        <v>0</v>
      </c>
      <c r="O204" s="52">
        <v>0</v>
      </c>
      <c r="P204" s="66"/>
      <c r="Q204" s="73"/>
      <c r="R204" s="73"/>
    </row>
    <row r="205" spans="1:18">
      <c r="A205" s="82" t="s">
        <v>75</v>
      </c>
      <c r="B205" s="29">
        <v>2017</v>
      </c>
      <c r="C205" s="76">
        <v>382</v>
      </c>
      <c r="D205" s="29">
        <v>200</v>
      </c>
      <c r="E205" s="22">
        <v>3.52</v>
      </c>
      <c r="F205" s="22">
        <v>3.72</v>
      </c>
      <c r="G205" s="22">
        <v>25.49</v>
      </c>
      <c r="H205" s="22">
        <v>145.2</v>
      </c>
      <c r="I205" s="22">
        <v>122</v>
      </c>
      <c r="J205" s="22">
        <v>14</v>
      </c>
      <c r="K205" s="22">
        <v>0.56</v>
      </c>
      <c r="L205" s="22">
        <v>39</v>
      </c>
      <c r="M205" s="22">
        <v>0.04</v>
      </c>
      <c r="N205" s="22">
        <v>1.3</v>
      </c>
      <c r="O205" s="52">
        <v>0.0114</v>
      </c>
      <c r="P205" s="66"/>
      <c r="Q205" s="73"/>
      <c r="R205" s="73"/>
    </row>
    <row r="206" spans="1:18">
      <c r="A206" s="83" t="s">
        <v>29</v>
      </c>
      <c r="B206" s="20" t="s">
        <v>27</v>
      </c>
      <c r="C206" s="20" t="s">
        <v>27</v>
      </c>
      <c r="D206" s="20">
        <v>30</v>
      </c>
      <c r="E206" s="39">
        <v>0.15</v>
      </c>
      <c r="F206" s="39">
        <v>0</v>
      </c>
      <c r="G206" s="39">
        <v>21.48</v>
      </c>
      <c r="H206" s="39">
        <v>86.52</v>
      </c>
      <c r="I206" s="39">
        <v>3.6</v>
      </c>
      <c r="J206" s="39">
        <v>2.7</v>
      </c>
      <c r="K206" s="39">
        <v>0.12</v>
      </c>
      <c r="L206" s="39">
        <v>5.4</v>
      </c>
      <c r="M206" s="39">
        <v>0</v>
      </c>
      <c r="N206" s="39">
        <v>0.72</v>
      </c>
      <c r="O206" s="68">
        <v>0</v>
      </c>
      <c r="P206" s="66"/>
      <c r="Q206" s="73"/>
      <c r="R206" s="73"/>
    </row>
    <row r="207" spans="1:18">
      <c r="A207" s="31" t="s">
        <v>30</v>
      </c>
      <c r="B207" s="24"/>
      <c r="C207" s="24"/>
      <c r="D207" s="29">
        <f t="shared" ref="D207:H207" si="30">SUM(D203:D206)</f>
        <v>550</v>
      </c>
      <c r="E207" s="22">
        <f t="shared" si="30"/>
        <v>18.24</v>
      </c>
      <c r="F207" s="22">
        <f t="shared" si="30"/>
        <v>18.795</v>
      </c>
      <c r="G207" s="22">
        <f t="shared" si="30"/>
        <v>85.775</v>
      </c>
      <c r="H207" s="22">
        <f t="shared" si="30"/>
        <v>578.44</v>
      </c>
      <c r="I207" s="22">
        <f t="shared" ref="I207:O207" si="31">SUM(I203:I206)</f>
        <v>379.219047619048</v>
      </c>
      <c r="J207" s="22">
        <f t="shared" si="31"/>
        <v>89.8619047619048</v>
      </c>
      <c r="K207" s="22">
        <f t="shared" si="31"/>
        <v>2.97428571428571</v>
      </c>
      <c r="L207" s="22">
        <f t="shared" si="31"/>
        <v>279.466666666667</v>
      </c>
      <c r="M207" s="22">
        <f t="shared" si="31"/>
        <v>0.325714285714286</v>
      </c>
      <c r="N207" s="22">
        <f t="shared" si="31"/>
        <v>2.02</v>
      </c>
      <c r="O207" s="52">
        <f t="shared" si="31"/>
        <v>28.2399714285714</v>
      </c>
      <c r="P207" s="66"/>
      <c r="Q207" s="73"/>
      <c r="R207" s="73"/>
    </row>
    <row r="208" spans="1:18">
      <c r="A208" s="30" t="s">
        <v>31</v>
      </c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60"/>
      <c r="P208" s="66"/>
      <c r="Q208" s="73"/>
      <c r="R208" s="73"/>
    </row>
    <row r="209" ht="14.4" customHeight="1" spans="1:18">
      <c r="A209" s="23" t="s">
        <v>95</v>
      </c>
      <c r="B209" s="20">
        <v>2017</v>
      </c>
      <c r="C209" s="20">
        <v>97</v>
      </c>
      <c r="D209" s="85">
        <v>250</v>
      </c>
      <c r="E209" s="38">
        <v>2.3375</v>
      </c>
      <c r="F209" s="38">
        <v>2.825</v>
      </c>
      <c r="G209" s="38">
        <v>16.6375</v>
      </c>
      <c r="H209" s="38">
        <v>101.25</v>
      </c>
      <c r="I209" s="38">
        <v>25.85</v>
      </c>
      <c r="J209" s="38">
        <v>31.125</v>
      </c>
      <c r="K209" s="67">
        <v>1.175</v>
      </c>
      <c r="L209" s="39">
        <v>76.8</v>
      </c>
      <c r="M209" s="38">
        <v>0.11</v>
      </c>
      <c r="N209" s="38">
        <v>2</v>
      </c>
      <c r="O209" s="38">
        <v>0</v>
      </c>
      <c r="P209" s="66"/>
      <c r="Q209" s="73"/>
      <c r="R209" s="73"/>
    </row>
    <row r="210" ht="14.4" customHeight="1" spans="1:18">
      <c r="A210" s="31" t="s">
        <v>33</v>
      </c>
      <c r="B210" s="24">
        <v>2017</v>
      </c>
      <c r="C210" s="24">
        <v>228</v>
      </c>
      <c r="D210" s="20">
        <v>10</v>
      </c>
      <c r="E210" s="22">
        <v>2.11</v>
      </c>
      <c r="F210" s="22">
        <v>1.36</v>
      </c>
      <c r="G210" s="22">
        <v>0</v>
      </c>
      <c r="H210" s="22">
        <v>20.67</v>
      </c>
      <c r="I210" s="22">
        <v>3.9</v>
      </c>
      <c r="J210" s="22">
        <v>2</v>
      </c>
      <c r="K210" s="22">
        <v>0.18</v>
      </c>
      <c r="L210" s="22">
        <v>14.3</v>
      </c>
      <c r="M210" s="22">
        <v>0.04</v>
      </c>
      <c r="N210" s="22">
        <v>0</v>
      </c>
      <c r="O210" s="52">
        <v>2.28</v>
      </c>
      <c r="P210" s="66"/>
      <c r="Q210" s="73"/>
      <c r="R210" s="73"/>
    </row>
    <row r="211" ht="14.4" customHeight="1" spans="1:18">
      <c r="A211" s="31" t="s">
        <v>106</v>
      </c>
      <c r="B211" s="24">
        <v>2011</v>
      </c>
      <c r="C211" s="24">
        <v>81</v>
      </c>
      <c r="D211" s="20">
        <v>260</v>
      </c>
      <c r="E211" s="22">
        <v>1.3</v>
      </c>
      <c r="F211" s="22">
        <v>3.9</v>
      </c>
      <c r="G211" s="22">
        <v>6.85</v>
      </c>
      <c r="H211" s="22">
        <v>83</v>
      </c>
      <c r="I211" s="70">
        <f>71.61*260/210</f>
        <v>88.66</v>
      </c>
      <c r="J211" s="70">
        <f>18.13*260/210</f>
        <v>22.4466666666667</v>
      </c>
      <c r="K211" s="70">
        <f>1.12*260/210</f>
        <v>1.38666666666667</v>
      </c>
      <c r="L211" s="70">
        <f>22.71*260/210</f>
        <v>28.1171428571429</v>
      </c>
      <c r="M211" s="95">
        <f>0.07*260/210</f>
        <v>0.0866666666666667</v>
      </c>
      <c r="N211" s="95">
        <f>1.57*260/210</f>
        <v>1.94380952380952</v>
      </c>
      <c r="O211" s="71">
        <f>25.42*260/210</f>
        <v>31.472380952381</v>
      </c>
      <c r="P211" s="66"/>
      <c r="Q211" s="73"/>
      <c r="R211" s="73"/>
    </row>
    <row r="212" ht="14.4" customHeight="1" spans="1:18">
      <c r="A212" s="31" t="s">
        <v>49</v>
      </c>
      <c r="B212" s="20">
        <v>2017</v>
      </c>
      <c r="C212" s="24" t="s">
        <v>50</v>
      </c>
      <c r="D212" s="39">
        <v>100</v>
      </c>
      <c r="E212" s="22">
        <f>11.99*100/90</f>
        <v>13.3222222222222</v>
      </c>
      <c r="F212" s="22">
        <v>12.06</v>
      </c>
      <c r="G212" s="22">
        <f>8.67*100/90</f>
        <v>9.63333333333333</v>
      </c>
      <c r="H212" s="22">
        <v>209.9</v>
      </c>
      <c r="I212" s="22">
        <v>208.111111111111</v>
      </c>
      <c r="J212" s="22">
        <v>23.4444444444444</v>
      </c>
      <c r="K212" s="22">
        <v>0.655555555555556</v>
      </c>
      <c r="L212" s="22">
        <v>86.3333333333333</v>
      </c>
      <c r="M212" s="22">
        <v>0.0666666666666667</v>
      </c>
      <c r="N212" s="22">
        <v>0.911111111111111</v>
      </c>
      <c r="O212" s="52">
        <v>329.055555555556</v>
      </c>
      <c r="P212" s="66"/>
      <c r="Q212" s="73"/>
      <c r="R212" s="73"/>
    </row>
    <row r="213" ht="14.4" customHeight="1" spans="1:18">
      <c r="A213" s="27" t="s">
        <v>51</v>
      </c>
      <c r="B213" s="39">
        <v>2017</v>
      </c>
      <c r="C213" s="39">
        <v>304</v>
      </c>
      <c r="D213" s="39">
        <v>200</v>
      </c>
      <c r="E213" s="22">
        <f>3.67*200/150</f>
        <v>4.89333333333333</v>
      </c>
      <c r="F213" s="22">
        <v>6.23</v>
      </c>
      <c r="G213" s="22">
        <v>44.89</v>
      </c>
      <c r="H213" s="22">
        <v>267.96</v>
      </c>
      <c r="I213" s="22">
        <v>26.36</v>
      </c>
      <c r="J213" s="22">
        <v>17.48</v>
      </c>
      <c r="K213" s="22">
        <v>0</v>
      </c>
      <c r="L213" s="22">
        <v>22</v>
      </c>
      <c r="M213" s="22">
        <v>0.06</v>
      </c>
      <c r="N213" s="22">
        <v>0</v>
      </c>
      <c r="O213" s="52">
        <v>0.2</v>
      </c>
      <c r="P213" s="66"/>
      <c r="Q213" s="73"/>
      <c r="R213" s="73"/>
    </row>
    <row r="214" ht="14.4" customHeight="1" spans="1:18">
      <c r="A214" s="31" t="s">
        <v>79</v>
      </c>
      <c r="B214" s="24">
        <v>2017</v>
      </c>
      <c r="C214" s="24">
        <v>47</v>
      </c>
      <c r="D214" s="20">
        <v>100</v>
      </c>
      <c r="E214" s="22">
        <v>1.71666666666667</v>
      </c>
      <c r="F214" s="22">
        <v>5.01666666666667</v>
      </c>
      <c r="G214" s="22">
        <v>8.5</v>
      </c>
      <c r="H214" s="22">
        <v>86.0333333333333</v>
      </c>
      <c r="I214" s="22">
        <v>52.45</v>
      </c>
      <c r="J214" s="22">
        <v>16.0833333333333</v>
      </c>
      <c r="K214" s="22">
        <v>0.666666666666667</v>
      </c>
      <c r="L214" s="22">
        <v>34.0833333333333</v>
      </c>
      <c r="M214" s="22">
        <v>0.0166666666666667</v>
      </c>
      <c r="N214" s="22">
        <v>19.8833333333333</v>
      </c>
      <c r="O214" s="52">
        <v>0</v>
      </c>
      <c r="P214" s="66"/>
      <c r="Q214" s="73"/>
      <c r="R214" s="73"/>
    </row>
    <row r="215" ht="14.4" customHeight="1" spans="1:18">
      <c r="A215" s="31" t="s">
        <v>53</v>
      </c>
      <c r="B215" s="24">
        <v>2017</v>
      </c>
      <c r="C215" s="24">
        <v>377</v>
      </c>
      <c r="D215" s="39">
        <v>200</v>
      </c>
      <c r="E215" s="39">
        <v>0.13</v>
      </c>
      <c r="F215" s="39">
        <v>0.02</v>
      </c>
      <c r="G215" s="39">
        <v>10.25</v>
      </c>
      <c r="H215" s="39">
        <v>41.68</v>
      </c>
      <c r="I215" s="39">
        <v>14.05</v>
      </c>
      <c r="J215" s="39">
        <v>2.4</v>
      </c>
      <c r="K215" s="39">
        <v>0.38</v>
      </c>
      <c r="L215" s="39">
        <v>4.4</v>
      </c>
      <c r="M215" s="39">
        <v>0</v>
      </c>
      <c r="N215" s="39">
        <v>2.83</v>
      </c>
      <c r="O215" s="68">
        <v>0</v>
      </c>
      <c r="P215" s="66"/>
      <c r="Q215" s="73"/>
      <c r="R215" s="73"/>
    </row>
    <row r="216" ht="14.4" customHeight="1" spans="1:18">
      <c r="A216" s="31" t="s">
        <v>38</v>
      </c>
      <c r="B216" s="24" t="s">
        <v>27</v>
      </c>
      <c r="C216" s="24" t="s">
        <v>27</v>
      </c>
      <c r="D216" s="20">
        <v>20</v>
      </c>
      <c r="E216" s="22">
        <v>1.58</v>
      </c>
      <c r="F216" s="22">
        <v>0.2</v>
      </c>
      <c r="G216" s="22">
        <v>9.66</v>
      </c>
      <c r="H216" s="22">
        <v>46.76</v>
      </c>
      <c r="I216" s="22">
        <v>4.6</v>
      </c>
      <c r="J216" s="22">
        <v>6.6</v>
      </c>
      <c r="K216" s="22">
        <v>0.22</v>
      </c>
      <c r="L216" s="22">
        <v>17.4</v>
      </c>
      <c r="M216" s="22">
        <v>0.08</v>
      </c>
      <c r="N216" s="22">
        <v>0</v>
      </c>
      <c r="O216" s="52">
        <v>0</v>
      </c>
      <c r="P216" s="66"/>
      <c r="Q216" s="73"/>
      <c r="R216" s="73"/>
    </row>
    <row r="217" ht="14.4" customHeight="1" spans="1:18">
      <c r="A217" s="31" t="s">
        <v>39</v>
      </c>
      <c r="B217" s="24" t="s">
        <v>27</v>
      </c>
      <c r="C217" s="24" t="s">
        <v>27</v>
      </c>
      <c r="D217" s="24">
        <v>40</v>
      </c>
      <c r="E217" s="22">
        <v>2.24</v>
      </c>
      <c r="F217" s="22">
        <v>0.44</v>
      </c>
      <c r="G217" s="22">
        <v>19.76</v>
      </c>
      <c r="H217" s="22">
        <v>91.96</v>
      </c>
      <c r="I217" s="22">
        <v>9.2</v>
      </c>
      <c r="J217" s="22">
        <v>10</v>
      </c>
      <c r="K217" s="22">
        <v>1.24</v>
      </c>
      <c r="L217" s="22">
        <v>42.4</v>
      </c>
      <c r="M217" s="22">
        <v>0.04</v>
      </c>
      <c r="N217" s="22">
        <v>0</v>
      </c>
      <c r="O217" s="52">
        <v>0</v>
      </c>
      <c r="P217" s="66"/>
      <c r="Q217" s="73"/>
      <c r="R217" s="73"/>
    </row>
    <row r="218" ht="14.4" customHeight="1" spans="1:18">
      <c r="A218" s="77" t="s">
        <v>30</v>
      </c>
      <c r="B218" s="78"/>
      <c r="C218" s="78"/>
      <c r="D218" s="39">
        <f>SUM(D209:D217)</f>
        <v>1180</v>
      </c>
      <c r="E218" s="22">
        <f t="shared" ref="E218:O218" si="32">SUM(E209:E217)</f>
        <v>29.6297222222222</v>
      </c>
      <c r="F218" s="22">
        <f t="shared" si="32"/>
        <v>32.0516666666667</v>
      </c>
      <c r="G218" s="22">
        <f t="shared" si="32"/>
        <v>126.180833333333</v>
      </c>
      <c r="H218" s="22">
        <f t="shared" si="32"/>
        <v>949.213333333333</v>
      </c>
      <c r="I218" s="22">
        <f t="shared" si="32"/>
        <v>433.181111111111</v>
      </c>
      <c r="J218" s="22">
        <f t="shared" si="32"/>
        <v>131.579444444444</v>
      </c>
      <c r="K218" s="22">
        <f t="shared" si="32"/>
        <v>5.90388888888889</v>
      </c>
      <c r="L218" s="22">
        <f t="shared" si="32"/>
        <v>325.833809523809</v>
      </c>
      <c r="M218" s="22">
        <f t="shared" si="32"/>
        <v>0.5</v>
      </c>
      <c r="N218" s="22">
        <f t="shared" si="32"/>
        <v>27.568253968254</v>
      </c>
      <c r="O218" s="52">
        <f t="shared" si="32"/>
        <v>363.007936507937</v>
      </c>
      <c r="P218" s="66"/>
      <c r="Q218" s="73"/>
      <c r="R218" s="73"/>
    </row>
    <row r="219" s="2" customFormat="1" ht="14.4" customHeight="1" spans="1:18">
      <c r="A219" s="40" t="s">
        <v>41</v>
      </c>
      <c r="B219" s="41"/>
      <c r="C219" s="41"/>
      <c r="D219" s="46">
        <f t="shared" ref="D219:O219" si="33">D218+D207</f>
        <v>1730</v>
      </c>
      <c r="E219" s="42">
        <f t="shared" si="33"/>
        <v>47.8697222222222</v>
      </c>
      <c r="F219" s="42">
        <f t="shared" si="33"/>
        <v>50.8466666666667</v>
      </c>
      <c r="G219" s="42">
        <f t="shared" si="33"/>
        <v>211.955833333333</v>
      </c>
      <c r="H219" s="42">
        <f t="shared" si="33"/>
        <v>1527.65333333333</v>
      </c>
      <c r="I219" s="42">
        <f t="shared" si="33"/>
        <v>812.400158730159</v>
      </c>
      <c r="J219" s="42">
        <f t="shared" si="33"/>
        <v>221.441349206349</v>
      </c>
      <c r="K219" s="42">
        <f t="shared" si="33"/>
        <v>8.8781746031746</v>
      </c>
      <c r="L219" s="42">
        <f t="shared" si="33"/>
        <v>605.300476190476</v>
      </c>
      <c r="M219" s="42">
        <f t="shared" si="33"/>
        <v>0.825714285714286</v>
      </c>
      <c r="N219" s="42">
        <f t="shared" si="33"/>
        <v>29.588253968254</v>
      </c>
      <c r="O219" s="62">
        <f t="shared" si="33"/>
        <v>391.247907936508</v>
      </c>
      <c r="P219" s="69"/>
      <c r="Q219" s="72"/>
      <c r="R219" s="72"/>
    </row>
    <row r="220" s="2" customFormat="1" ht="14.4" customHeight="1" spans="1:18">
      <c r="A220" s="47" t="s">
        <v>116</v>
      </c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57"/>
      <c r="Q220" s="72"/>
      <c r="R220" s="72"/>
    </row>
    <row r="221" s="2" customFormat="1" ht="14.4" customHeight="1" spans="1:18">
      <c r="A221" s="48" t="s">
        <v>105</v>
      </c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60"/>
      <c r="P221" s="57"/>
      <c r="Q221" s="72"/>
      <c r="R221" s="72"/>
    </row>
    <row r="222" ht="16.95" customHeight="1" spans="1:18">
      <c r="A222" s="31" t="s">
        <v>63</v>
      </c>
      <c r="B222" s="20">
        <v>2017</v>
      </c>
      <c r="C222" s="20">
        <v>181</v>
      </c>
      <c r="D222" s="29">
        <v>260</v>
      </c>
      <c r="E222" s="22">
        <v>12.17</v>
      </c>
      <c r="F222" s="22">
        <v>6.71</v>
      </c>
      <c r="G222" s="22">
        <f>35.9*250/200</f>
        <v>44.875</v>
      </c>
      <c r="H222" s="22">
        <v>286.7</v>
      </c>
      <c r="I222" s="22">
        <v>250.305714285714</v>
      </c>
      <c r="J222" s="22">
        <v>9.78095238095238</v>
      </c>
      <c r="K222" s="22">
        <v>0.581904761904762</v>
      </c>
      <c r="L222" s="22">
        <v>45.5619047619048</v>
      </c>
      <c r="M222" s="22">
        <v>0.0495238095238095</v>
      </c>
      <c r="N222" s="22">
        <v>0</v>
      </c>
      <c r="O222" s="22">
        <v>65.46</v>
      </c>
      <c r="P222" s="59" t="s">
        <v>116</v>
      </c>
      <c r="Q222" s="73"/>
      <c r="R222" s="73"/>
    </row>
    <row r="223" ht="13.2" customHeight="1" spans="1:18">
      <c r="A223" s="23" t="s">
        <v>64</v>
      </c>
      <c r="B223" s="39">
        <v>3</v>
      </c>
      <c r="C223" s="39">
        <v>2017</v>
      </c>
      <c r="D223" s="29">
        <v>40</v>
      </c>
      <c r="E223" s="39">
        <v>4.9</v>
      </c>
      <c r="F223" s="22">
        <v>11.55</v>
      </c>
      <c r="G223" s="22">
        <v>17.1</v>
      </c>
      <c r="H223" s="22">
        <v>193</v>
      </c>
      <c r="I223" s="22">
        <v>106</v>
      </c>
      <c r="J223" s="22">
        <v>4.8</v>
      </c>
      <c r="K223" s="22">
        <v>0.12</v>
      </c>
      <c r="L223" s="22">
        <v>0.09</v>
      </c>
      <c r="M223" s="22">
        <v>0.06</v>
      </c>
      <c r="N223" s="22">
        <v>0.11</v>
      </c>
      <c r="O223" s="22">
        <v>39</v>
      </c>
      <c r="P223" s="59"/>
      <c r="Q223" s="73"/>
      <c r="R223" s="73"/>
    </row>
    <row r="224" ht="13.2" customHeight="1" spans="1:18">
      <c r="A224" s="23" t="s">
        <v>28</v>
      </c>
      <c r="B224" s="24">
        <v>2017</v>
      </c>
      <c r="C224" s="24">
        <v>376</v>
      </c>
      <c r="D224" s="21">
        <v>200</v>
      </c>
      <c r="E224" s="22">
        <v>0.2</v>
      </c>
      <c r="F224" s="22">
        <v>0</v>
      </c>
      <c r="G224" s="22">
        <v>14</v>
      </c>
      <c r="H224" s="22">
        <v>28</v>
      </c>
      <c r="I224" s="22">
        <v>6</v>
      </c>
      <c r="J224" s="22">
        <v>0</v>
      </c>
      <c r="K224" s="22">
        <v>0.4</v>
      </c>
      <c r="L224" s="22">
        <v>0</v>
      </c>
      <c r="M224" s="22">
        <v>0</v>
      </c>
      <c r="N224" s="22">
        <v>0</v>
      </c>
      <c r="O224" s="22">
        <v>0</v>
      </c>
      <c r="P224" s="59"/>
      <c r="Q224" s="73"/>
      <c r="R224" s="73"/>
    </row>
    <row r="225" ht="13.2" customHeight="1" spans="1:18">
      <c r="A225" s="27" t="s">
        <v>65</v>
      </c>
      <c r="B225" s="39">
        <v>2017</v>
      </c>
      <c r="C225" s="39">
        <v>338</v>
      </c>
      <c r="D225" s="29">
        <v>100</v>
      </c>
      <c r="E225" s="22">
        <v>0.9</v>
      </c>
      <c r="F225" s="22">
        <v>0.2</v>
      </c>
      <c r="G225" s="22">
        <v>8.1</v>
      </c>
      <c r="H225" s="22">
        <v>37.8</v>
      </c>
      <c r="I225" s="22">
        <v>34</v>
      </c>
      <c r="J225" s="22">
        <v>13</v>
      </c>
      <c r="K225" s="22">
        <v>0.3</v>
      </c>
      <c r="L225" s="22">
        <v>18.33</v>
      </c>
      <c r="M225" s="22">
        <v>0.04</v>
      </c>
      <c r="N225" s="22">
        <v>26</v>
      </c>
      <c r="O225" s="22">
        <v>0</v>
      </c>
      <c r="P225" s="59"/>
      <c r="Q225" s="73"/>
      <c r="R225" s="73"/>
    </row>
    <row r="226" ht="12" customHeight="1" spans="1:18">
      <c r="A226" s="77" t="s">
        <v>30</v>
      </c>
      <c r="B226" s="78"/>
      <c r="C226" s="78"/>
      <c r="D226" s="39">
        <v>600</v>
      </c>
      <c r="E226" s="22">
        <f t="shared" ref="E226:O226" si="34">SUM(E222:E225)</f>
        <v>18.17</v>
      </c>
      <c r="F226" s="22">
        <f t="shared" si="34"/>
        <v>18.46</v>
      </c>
      <c r="G226" s="22">
        <f t="shared" si="34"/>
        <v>84.075</v>
      </c>
      <c r="H226" s="22">
        <f t="shared" si="34"/>
        <v>545.5</v>
      </c>
      <c r="I226" s="22">
        <f t="shared" si="34"/>
        <v>396.305714285714</v>
      </c>
      <c r="J226" s="22">
        <f t="shared" si="34"/>
        <v>27.5809523809524</v>
      </c>
      <c r="K226" s="22">
        <f t="shared" si="34"/>
        <v>1.40190476190476</v>
      </c>
      <c r="L226" s="22">
        <f t="shared" si="34"/>
        <v>63.9819047619048</v>
      </c>
      <c r="M226" s="22">
        <f t="shared" si="34"/>
        <v>0.14952380952381</v>
      </c>
      <c r="N226" s="22">
        <f t="shared" si="34"/>
        <v>26.11</v>
      </c>
      <c r="O226" s="22">
        <f t="shared" si="34"/>
        <v>104.46</v>
      </c>
      <c r="P226" s="59"/>
      <c r="Q226" s="73"/>
      <c r="R226" s="73"/>
    </row>
    <row r="227" s="2" customFormat="1" spans="1:18">
      <c r="A227" s="44" t="s">
        <v>31</v>
      </c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64"/>
      <c r="P227" s="59"/>
      <c r="Q227" s="72"/>
      <c r="R227" s="72"/>
    </row>
    <row r="228" spans="1:18">
      <c r="A228" s="31" t="s">
        <v>76</v>
      </c>
      <c r="B228" s="24">
        <v>2017</v>
      </c>
      <c r="C228" s="84">
        <v>96</v>
      </c>
      <c r="D228" s="39">
        <v>260</v>
      </c>
      <c r="E228" s="22">
        <f>2.48*250/200</f>
        <v>3.1</v>
      </c>
      <c r="F228" s="22">
        <v>8.28</v>
      </c>
      <c r="G228" s="22">
        <f>24.08*250/200</f>
        <v>30.1</v>
      </c>
      <c r="H228" s="22">
        <v>199.79</v>
      </c>
      <c r="I228" s="22">
        <v>26.1980952380952</v>
      </c>
      <c r="J228" s="22">
        <v>25.6533333333333</v>
      </c>
      <c r="K228" s="22">
        <v>0.965714285714286</v>
      </c>
      <c r="L228" s="22">
        <v>71.2647619047619</v>
      </c>
      <c r="M228" s="22">
        <v>0.0990476190476191</v>
      </c>
      <c r="N228" s="22">
        <v>7.46571428571429</v>
      </c>
      <c r="O228" s="52">
        <v>0</v>
      </c>
      <c r="P228" s="59"/>
      <c r="Q228" s="73"/>
      <c r="R228" s="73"/>
    </row>
    <row r="229" spans="1:18">
      <c r="A229" s="31" t="s">
        <v>33</v>
      </c>
      <c r="B229" s="24">
        <v>2017</v>
      </c>
      <c r="C229" s="24">
        <v>288</v>
      </c>
      <c r="D229" s="20">
        <v>10</v>
      </c>
      <c r="E229" s="22">
        <v>2.11</v>
      </c>
      <c r="F229" s="22">
        <v>1.36</v>
      </c>
      <c r="G229" s="22">
        <v>0</v>
      </c>
      <c r="H229" s="22">
        <v>20.67</v>
      </c>
      <c r="I229" s="22">
        <v>3.9</v>
      </c>
      <c r="J229" s="22">
        <v>2</v>
      </c>
      <c r="K229" s="22">
        <v>0.18</v>
      </c>
      <c r="L229" s="22">
        <v>14.3</v>
      </c>
      <c r="M229" s="22">
        <v>0.04</v>
      </c>
      <c r="N229" s="22">
        <v>0</v>
      </c>
      <c r="O229" s="22">
        <v>2.28</v>
      </c>
      <c r="P229" s="59"/>
      <c r="Q229" s="73"/>
      <c r="R229" s="73"/>
    </row>
    <row r="230" spans="1:18">
      <c r="A230" s="31" t="s">
        <v>35</v>
      </c>
      <c r="B230" s="24">
        <v>2017</v>
      </c>
      <c r="C230" s="24">
        <v>255</v>
      </c>
      <c r="D230" s="20">
        <v>100</v>
      </c>
      <c r="E230" s="22">
        <v>10.13</v>
      </c>
      <c r="F230" s="22">
        <v>11.23</v>
      </c>
      <c r="G230" s="22">
        <v>3.9</v>
      </c>
      <c r="H230" s="22">
        <v>163.42</v>
      </c>
      <c r="I230" s="22">
        <v>38.24</v>
      </c>
      <c r="J230" s="22">
        <v>17.47</v>
      </c>
      <c r="K230" s="22">
        <v>4.74444444444444</v>
      </c>
      <c r="L230" s="22">
        <v>239.32</v>
      </c>
      <c r="M230" s="22">
        <v>0.2</v>
      </c>
      <c r="N230" s="22">
        <v>4.12</v>
      </c>
      <c r="O230" s="52">
        <v>366.51</v>
      </c>
      <c r="P230" s="59"/>
      <c r="Q230" s="73"/>
      <c r="R230" s="73"/>
    </row>
    <row r="231" spans="1:18">
      <c r="A231" s="27" t="s">
        <v>92</v>
      </c>
      <c r="B231" s="39">
        <v>2017</v>
      </c>
      <c r="C231" s="39">
        <v>202</v>
      </c>
      <c r="D231" s="53">
        <v>200</v>
      </c>
      <c r="E231" s="34">
        <v>7.36</v>
      </c>
      <c r="F231" s="34">
        <v>6.02666666666667</v>
      </c>
      <c r="G231" s="34">
        <v>35.2666666666667</v>
      </c>
      <c r="H231" s="34">
        <v>224.6</v>
      </c>
      <c r="I231" s="34">
        <v>6.48</v>
      </c>
      <c r="J231" s="34">
        <v>28.16</v>
      </c>
      <c r="K231" s="34">
        <v>1.48</v>
      </c>
      <c r="L231" s="34">
        <v>49.56</v>
      </c>
      <c r="M231" s="34">
        <v>0.08</v>
      </c>
      <c r="N231" s="34">
        <v>0</v>
      </c>
      <c r="O231" s="34">
        <v>96.33</v>
      </c>
      <c r="P231" s="59"/>
      <c r="Q231" s="73"/>
      <c r="R231" s="73"/>
    </row>
    <row r="232" spans="1:18">
      <c r="A232" s="27" t="s">
        <v>117</v>
      </c>
      <c r="B232" s="39">
        <v>2017</v>
      </c>
      <c r="C232" s="39">
        <v>45</v>
      </c>
      <c r="D232" s="39">
        <v>100</v>
      </c>
      <c r="E232" s="22">
        <v>1.54</v>
      </c>
      <c r="F232" s="22">
        <v>0.11</v>
      </c>
      <c r="G232" s="22">
        <v>10.91</v>
      </c>
      <c r="H232" s="22">
        <v>48.12</v>
      </c>
      <c r="I232" s="22">
        <v>104.64</v>
      </c>
      <c r="J232" s="22">
        <v>19.09</v>
      </c>
      <c r="K232" s="22">
        <v>0.73</v>
      </c>
      <c r="L232" s="22">
        <v>35.38</v>
      </c>
      <c r="M232" s="22">
        <v>0.03</v>
      </c>
      <c r="N232" s="22">
        <v>13.49</v>
      </c>
      <c r="O232" s="22">
        <v>9.09</v>
      </c>
      <c r="P232" s="59"/>
      <c r="Q232" s="73"/>
      <c r="R232" s="73"/>
    </row>
    <row r="233" ht="14.4" customHeight="1" spans="1:18">
      <c r="A233" s="31" t="s">
        <v>40</v>
      </c>
      <c r="B233" s="24">
        <v>2017</v>
      </c>
      <c r="C233" s="24">
        <v>349</v>
      </c>
      <c r="D233" s="24">
        <v>200</v>
      </c>
      <c r="E233" s="22">
        <v>0.04</v>
      </c>
      <c r="F233" s="22">
        <v>0</v>
      </c>
      <c r="G233" s="22">
        <v>24.76</v>
      </c>
      <c r="H233" s="22">
        <v>94.2</v>
      </c>
      <c r="I233" s="22">
        <v>6.4</v>
      </c>
      <c r="J233" s="22">
        <v>0</v>
      </c>
      <c r="K233" s="22">
        <v>0.18</v>
      </c>
      <c r="L233" s="22">
        <v>3.6</v>
      </c>
      <c r="M233" s="22">
        <v>0.01</v>
      </c>
      <c r="N233" s="22">
        <v>1.08</v>
      </c>
      <c r="O233" s="22">
        <v>0</v>
      </c>
      <c r="P233" s="59"/>
      <c r="Q233" s="73"/>
      <c r="R233" s="73"/>
    </row>
    <row r="234" spans="1:18">
      <c r="A234" s="31" t="s">
        <v>38</v>
      </c>
      <c r="B234" s="24" t="s">
        <v>27</v>
      </c>
      <c r="C234" s="24" t="s">
        <v>27</v>
      </c>
      <c r="D234" s="20">
        <v>20</v>
      </c>
      <c r="E234" s="22">
        <v>1.58</v>
      </c>
      <c r="F234" s="22">
        <v>0.2</v>
      </c>
      <c r="G234" s="22">
        <v>9.66</v>
      </c>
      <c r="H234" s="22">
        <v>46.76</v>
      </c>
      <c r="I234" s="22">
        <v>4.6</v>
      </c>
      <c r="J234" s="22">
        <v>6.6</v>
      </c>
      <c r="K234" s="22">
        <v>0.22</v>
      </c>
      <c r="L234" s="22">
        <v>17.4</v>
      </c>
      <c r="M234" s="22">
        <v>0.08</v>
      </c>
      <c r="N234" s="22">
        <v>0</v>
      </c>
      <c r="O234" s="22">
        <v>0</v>
      </c>
      <c r="P234" s="59"/>
      <c r="Q234" s="73"/>
      <c r="R234" s="73"/>
    </row>
    <row r="235" spans="1:18">
      <c r="A235" s="31" t="s">
        <v>39</v>
      </c>
      <c r="B235" s="24" t="s">
        <v>27</v>
      </c>
      <c r="C235" s="24" t="s">
        <v>27</v>
      </c>
      <c r="D235" s="24">
        <v>40</v>
      </c>
      <c r="E235" s="22">
        <v>2.24</v>
      </c>
      <c r="F235" s="22">
        <v>0.44</v>
      </c>
      <c r="G235" s="22">
        <v>19.76</v>
      </c>
      <c r="H235" s="22">
        <v>91.96</v>
      </c>
      <c r="I235" s="22">
        <v>9.2</v>
      </c>
      <c r="J235" s="22">
        <v>10</v>
      </c>
      <c r="K235" s="22">
        <v>1.24</v>
      </c>
      <c r="L235" s="22">
        <v>42.4</v>
      </c>
      <c r="M235" s="22">
        <v>0.04</v>
      </c>
      <c r="N235" s="22">
        <v>0</v>
      </c>
      <c r="O235" s="22">
        <v>0</v>
      </c>
      <c r="P235" s="59"/>
      <c r="Q235" s="73"/>
      <c r="R235" s="73"/>
    </row>
    <row r="236" spans="1:18">
      <c r="A236" s="77" t="s">
        <v>30</v>
      </c>
      <c r="B236" s="78"/>
      <c r="C236" s="78"/>
      <c r="D236" s="39">
        <f>SUM(D228:D235)</f>
        <v>930</v>
      </c>
      <c r="E236" s="22">
        <f>SUM(E228:E235)</f>
        <v>28.1</v>
      </c>
      <c r="F236" s="22">
        <f>SUM(F228:F235)</f>
        <v>27.6466666666667</v>
      </c>
      <c r="G236" s="22">
        <f>SUM(G228:G235)</f>
        <v>134.356666666667</v>
      </c>
      <c r="H236" s="22">
        <f>SUM(H228:H235)</f>
        <v>889.52</v>
      </c>
      <c r="I236" s="22">
        <f t="shared" ref="I236:O236" si="35">SUM(I228:I235)</f>
        <v>199.658095238095</v>
      </c>
      <c r="J236" s="22">
        <f t="shared" si="35"/>
        <v>108.973333333333</v>
      </c>
      <c r="K236" s="22">
        <f t="shared" si="35"/>
        <v>9.74015873015873</v>
      </c>
      <c r="L236" s="22">
        <f t="shared" si="35"/>
        <v>473.224761904762</v>
      </c>
      <c r="M236" s="22">
        <f t="shared" si="35"/>
        <v>0.579047619047619</v>
      </c>
      <c r="N236" s="22">
        <f t="shared" si="35"/>
        <v>26.1557142857143</v>
      </c>
      <c r="O236" s="22">
        <f t="shared" si="35"/>
        <v>474.21</v>
      </c>
      <c r="P236" s="59"/>
      <c r="Q236" s="73"/>
      <c r="R236" s="73"/>
    </row>
    <row r="237" s="2" customFormat="1" spans="1:18">
      <c r="A237" s="40" t="s">
        <v>41</v>
      </c>
      <c r="B237" s="41"/>
      <c r="C237" s="41"/>
      <c r="D237" s="46">
        <f t="shared" ref="D237:O237" si="36">D236+D226</f>
        <v>1530</v>
      </c>
      <c r="E237" s="42">
        <f t="shared" si="36"/>
        <v>46.27</v>
      </c>
      <c r="F237" s="42">
        <f t="shared" si="36"/>
        <v>46.1066666666667</v>
      </c>
      <c r="G237" s="42">
        <f t="shared" si="36"/>
        <v>218.431666666667</v>
      </c>
      <c r="H237" s="42">
        <f t="shared" si="36"/>
        <v>1435.02</v>
      </c>
      <c r="I237" s="42">
        <f t="shared" si="36"/>
        <v>595.963809523809</v>
      </c>
      <c r="J237" s="42">
        <f t="shared" si="36"/>
        <v>136.554285714286</v>
      </c>
      <c r="K237" s="42">
        <f t="shared" si="36"/>
        <v>11.1420634920635</v>
      </c>
      <c r="L237" s="42">
        <f t="shared" si="36"/>
        <v>537.206666666667</v>
      </c>
      <c r="M237" s="42">
        <f t="shared" si="36"/>
        <v>0.728571428571429</v>
      </c>
      <c r="N237" s="42">
        <f t="shared" si="36"/>
        <v>52.2657142857143</v>
      </c>
      <c r="O237" s="42">
        <f t="shared" si="36"/>
        <v>578.67</v>
      </c>
      <c r="P237" s="59"/>
      <c r="Q237" s="72"/>
      <c r="R237" s="72"/>
    </row>
    <row r="238" s="2" customFormat="1" spans="1:18">
      <c r="A238" s="40" t="s">
        <v>80</v>
      </c>
      <c r="B238" s="41"/>
      <c r="C238" s="41"/>
      <c r="D238" s="42">
        <f t="shared" ref="D238:O238" si="37">(D237+D219+D200+D180+D161+D143)/6</f>
        <v>1689.16666666667</v>
      </c>
      <c r="E238" s="42">
        <f t="shared" si="37"/>
        <v>49.5008611111111</v>
      </c>
      <c r="F238" s="42">
        <f t="shared" si="37"/>
        <v>52.6459537037037</v>
      </c>
      <c r="G238" s="42">
        <f t="shared" si="37"/>
        <v>224.72512037037</v>
      </c>
      <c r="H238" s="42">
        <f t="shared" si="37"/>
        <v>1557.02068783069</v>
      </c>
      <c r="I238" s="42">
        <f t="shared" si="37"/>
        <v>645.026246031746</v>
      </c>
      <c r="J238" s="42">
        <f t="shared" si="37"/>
        <v>213.767597883598</v>
      </c>
      <c r="K238" s="42">
        <f t="shared" si="37"/>
        <v>10.6502579365079</v>
      </c>
      <c r="L238" s="42">
        <f t="shared" si="37"/>
        <v>663.803809523809</v>
      </c>
      <c r="M238" s="42">
        <f t="shared" si="37"/>
        <v>0.881161375661376</v>
      </c>
      <c r="N238" s="42">
        <f t="shared" si="37"/>
        <v>50.2481547619048</v>
      </c>
      <c r="O238" s="42">
        <f t="shared" si="37"/>
        <v>414.415176228269</v>
      </c>
      <c r="P238" s="57"/>
      <c r="Q238" s="72"/>
      <c r="R238" s="72"/>
    </row>
    <row r="239" s="2" customFormat="1" spans="1:18">
      <c r="A239" s="40" t="s">
        <v>118</v>
      </c>
      <c r="B239" s="46"/>
      <c r="C239" s="46"/>
      <c r="D239" s="42">
        <f t="shared" ref="D239:O239" si="38">(D238+D125)/2</f>
        <v>1689.16666666667</v>
      </c>
      <c r="E239" s="42">
        <f t="shared" si="38"/>
        <v>50.0375224867725</v>
      </c>
      <c r="F239" s="42">
        <f t="shared" si="38"/>
        <v>52.9059563492063</v>
      </c>
      <c r="G239" s="42">
        <f t="shared" si="38"/>
        <v>222.15775462963</v>
      </c>
      <c r="H239" s="42">
        <f t="shared" si="38"/>
        <v>1559.24851521164</v>
      </c>
      <c r="I239" s="42">
        <f t="shared" si="38"/>
        <v>647.480423941799</v>
      </c>
      <c r="J239" s="42">
        <f t="shared" si="38"/>
        <v>211.828103174603</v>
      </c>
      <c r="K239" s="42">
        <f t="shared" si="38"/>
        <v>11.1957876984127</v>
      </c>
      <c r="L239" s="42">
        <f t="shared" si="38"/>
        <v>730.707656746032</v>
      </c>
      <c r="M239" s="42">
        <f t="shared" si="38"/>
        <v>0.935734788359788</v>
      </c>
      <c r="N239" s="42">
        <f t="shared" si="38"/>
        <v>48.870119047619</v>
      </c>
      <c r="O239" s="42">
        <f t="shared" si="38"/>
        <v>436.326874754346</v>
      </c>
      <c r="P239" s="57"/>
      <c r="Q239" s="72"/>
      <c r="R239" s="72"/>
    </row>
    <row r="240" s="2" customFormat="1" customHeight="1" spans="1:18">
      <c r="A240" s="106" t="s">
        <v>109</v>
      </c>
      <c r="B240" s="106"/>
      <c r="C240" s="106"/>
      <c r="D240" s="106"/>
      <c r="E240" s="106"/>
      <c r="F240" s="106"/>
      <c r="G240" s="106"/>
      <c r="H240" s="106"/>
      <c r="I240" s="106"/>
      <c r="J240" s="106"/>
      <c r="K240" s="106"/>
      <c r="L240" s="106"/>
      <c r="M240" s="106"/>
      <c r="N240" s="106"/>
      <c r="O240" s="106"/>
      <c r="P240" s="106"/>
      <c r="Q240" s="72"/>
      <c r="R240" s="72"/>
    </row>
  </sheetData>
  <mergeCells count="65">
    <mergeCell ref="A1:C1"/>
    <mergeCell ref="I1:P1"/>
    <mergeCell ref="A2:C2"/>
    <mergeCell ref="I2:P2"/>
    <mergeCell ref="A3:C3"/>
    <mergeCell ref="I3:P3"/>
    <mergeCell ref="A4:C4"/>
    <mergeCell ref="I4:P4"/>
    <mergeCell ref="E10:H10"/>
    <mergeCell ref="I10:L10"/>
    <mergeCell ref="M10:O10"/>
    <mergeCell ref="A12:O12"/>
    <mergeCell ref="A13:O13"/>
    <mergeCell ref="A20:O20"/>
    <mergeCell ref="A32:O32"/>
    <mergeCell ref="A33:O33"/>
    <mergeCell ref="A39:O39"/>
    <mergeCell ref="A51:O51"/>
    <mergeCell ref="A52:O52"/>
    <mergeCell ref="A58:O58"/>
    <mergeCell ref="A69:O69"/>
    <mergeCell ref="A70:O70"/>
    <mergeCell ref="A76:O76"/>
    <mergeCell ref="A88:O88"/>
    <mergeCell ref="A89:O89"/>
    <mergeCell ref="A95:O95"/>
    <mergeCell ref="A107:O107"/>
    <mergeCell ref="A108:O108"/>
    <mergeCell ref="A114:O114"/>
    <mergeCell ref="A126:O126"/>
    <mergeCell ref="A127:O127"/>
    <mergeCell ref="A133:O133"/>
    <mergeCell ref="A144:O144"/>
    <mergeCell ref="A145:O145"/>
    <mergeCell ref="A151:O151"/>
    <mergeCell ref="A162:O162"/>
    <mergeCell ref="A163:O163"/>
    <mergeCell ref="A169:O169"/>
    <mergeCell ref="A181:O181"/>
    <mergeCell ref="A182:O182"/>
    <mergeCell ref="A189:O189"/>
    <mergeCell ref="A201:O201"/>
    <mergeCell ref="A202:O202"/>
    <mergeCell ref="A208:O208"/>
    <mergeCell ref="A220:O220"/>
    <mergeCell ref="A221:O221"/>
    <mergeCell ref="A227:O227"/>
    <mergeCell ref="A240:P240"/>
    <mergeCell ref="A10:A11"/>
    <mergeCell ref="B10:B11"/>
    <mergeCell ref="C10:C11"/>
    <mergeCell ref="D10:D11"/>
    <mergeCell ref="P12:P31"/>
    <mergeCell ref="P34:P50"/>
    <mergeCell ref="P53:P68"/>
    <mergeCell ref="P71:P87"/>
    <mergeCell ref="P90:P106"/>
    <mergeCell ref="P108:P124"/>
    <mergeCell ref="P128:P143"/>
    <mergeCell ref="P146:P161"/>
    <mergeCell ref="P163:P180"/>
    <mergeCell ref="P182:P200"/>
    <mergeCell ref="P201:P219"/>
    <mergeCell ref="P222:P237"/>
    <mergeCell ref="A6:P9"/>
  </mergeCells>
  <pageMargins left="0.511811023622047" right="0.31496062992126" top="0.275590551181102" bottom="0.275590551181102" header="0.31496062992126" footer="0.31496062992126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7-11</vt:lpstr>
      <vt:lpstr>12-18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2025-01-29T12:40:01Z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3A8C985AEF4F4E77B76BC2155976889C_13</vt:lpwstr>
  </property>
  <property fmtid="{D5CDD505-2E9C-101B-9397-08002B2CF9AE}" pid="3" name="KSOProductBuildVer">
    <vt:lpwstr>1049-12.2.0.19805</vt:lpwstr>
  </property>
</Properties>
</file>