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3020"/>
  </bookViews>
  <sheets>
    <sheet name="октябрь 12 часов" sheetId="1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3" l="1"/>
  <c r="R8" i="13" s="1"/>
  <c r="AC8" i="13"/>
  <c r="AE8" i="13"/>
  <c r="AL8" i="13"/>
  <c r="AL9" i="13" s="1"/>
  <c r="W8" i="13" l="1"/>
  <c r="Y8" i="13" s="1"/>
  <c r="F17" i="13"/>
  <c r="N17" i="13"/>
  <c r="K17" i="13"/>
  <c r="L17" i="13" s="1"/>
  <c r="M17" i="13" s="1"/>
  <c r="O9" i="13"/>
  <c r="O17" i="13" l="1"/>
  <c r="K8" i="13" s="1"/>
  <c r="AD8" i="13"/>
  <c r="AF8" i="13" l="1"/>
  <c r="AG8" i="13" s="1"/>
  <c r="AI8" i="13" l="1"/>
  <c r="AJ8" i="13" s="1"/>
  <c r="AK8" i="13" s="1"/>
  <c r="AM8" i="13" s="1"/>
  <c r="AJ9" i="13" l="1"/>
  <c r="AM9" i="13" l="1"/>
  <c r="AK9" i="13"/>
</calcChain>
</file>

<file path=xl/sharedStrings.xml><?xml version="1.0" encoding="utf-8"?>
<sst xmlns="http://schemas.openxmlformats.org/spreadsheetml/2006/main" count="130" uniqueCount="124">
  <si>
    <t>6</t>
  </si>
  <si>
    <t>Валюта, используемая для формирования цены контракта и расчетов с поставщиком (подрядчиком, исполнителем) - российский рубль.
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 – не установлен.</t>
  </si>
  <si>
    <t>№</t>
  </si>
  <si>
    <t>Адрес объекта охраны</t>
  </si>
  <si>
    <t xml:space="preserve">Кол-во постов охраны </t>
  </si>
  <si>
    <t>Часов в сутки</t>
  </si>
  <si>
    <t>Дополнительные услуги (работы) п. 6 Порядка определения НМЦК</t>
  </si>
  <si>
    <t>Минимальный размер оплаты труда работника</t>
  </si>
  <si>
    <t>Среднемесячное количество рабочих часов</t>
  </si>
  <si>
    <t>Базовая ЗП</t>
  </si>
  <si>
    <t>Срок оказания охранных услуг</t>
  </si>
  <si>
    <t>Режим работы поста (часов в сутки)</t>
  </si>
  <si>
    <t>Период работы поста в ночное время (с 22:00 до 6:00)</t>
  </si>
  <si>
    <t>Доплата за работу в ночное время</t>
  </si>
  <si>
    <t>Общее количество дней охраны</t>
  </si>
  <si>
    <t>Количество нерабочих праздничных дней</t>
  </si>
  <si>
    <t>Доплата за работу в выходные и праздничные дни</t>
  </si>
  <si>
    <t>Доплата за работу в районах Крайнего Севера</t>
  </si>
  <si>
    <t>Резерв на отпуск</t>
  </si>
  <si>
    <t>Ставка страховых взносов</t>
  </si>
  <si>
    <t>Страховые взносы</t>
  </si>
  <si>
    <t>Базовый коэффициент (U б)</t>
  </si>
  <si>
    <t>Корректирующий коэффициент</t>
  </si>
  <si>
    <t>Прямые затраты</t>
  </si>
  <si>
    <t>Количество постов охраны</t>
  </si>
  <si>
    <t>Косвенные расходы</t>
  </si>
  <si>
    <t>Прибыль</t>
  </si>
  <si>
    <t>Индекс потребительских цен</t>
  </si>
  <si>
    <t>Налог на добавленную стоимость</t>
  </si>
  <si>
    <t>НМЦК</t>
  </si>
  <si>
    <t>Начальная (максимальная)  цена контракта с учетом человеко-часов за 1 час
рубль/человеко-час</t>
  </si>
  <si>
    <t>Количество человеко-часов за весь период оказания услуг</t>
  </si>
  <si>
    <t>наличие спецсредств у работника</t>
  </si>
  <si>
    <t>наличие служебного оружия у работника</t>
  </si>
  <si>
    <t>обеспечение порядка в местах проведения массовых мероприятий</t>
  </si>
  <si>
    <t>охрана объектов и (или) имущества, а также обеспечение внутриобъектового и пропускного режима на объектах, в отношении которых установлены обязательные для выполнения требования к антитеррористической защищенности</t>
  </si>
  <si>
    <t>Наличие допуска к гос.тайне работника и режимно-секретного подразделения</t>
  </si>
  <si>
    <t>Стоимость выполнения работ по проектированию, монтажу и эксплуатационному обслуживанию технических средств охраны (С тсо)</t>
  </si>
  <si>
    <t>МРОТ, руб/мес</t>
  </si>
  <si>
    <t>СНР час/мес</t>
  </si>
  <si>
    <t>БЗП, руб/час</t>
  </si>
  <si>
    <t>час</t>
  </si>
  <si>
    <t>Дн, час</t>
  </si>
  <si>
    <t>день</t>
  </si>
  <si>
    <t>Д вп, час</t>
  </si>
  <si>
    <t>Дрк, час</t>
  </si>
  <si>
    <t>РО, час</t>
  </si>
  <si>
    <t>Y, %</t>
  </si>
  <si>
    <t>СВ, руб/час</t>
  </si>
  <si>
    <t>Пост охраны в составе одного работника с режимом работы 24 часа</t>
  </si>
  <si>
    <t>Пост охраны в составе одного работника с режимом работы 12 часов</t>
  </si>
  <si>
    <t xml:space="preserve">Пост охраны в составе 1 работника с режимом работы, отличным от 24 и 12 ч (но не более 24 ч и не менее 3 ч ) </t>
  </si>
  <si>
    <t>U</t>
  </si>
  <si>
    <t>Си=(БЗП+Дн+Двп+Дрк+РО+СВ)*U, руб/час</t>
  </si>
  <si>
    <t>n</t>
  </si>
  <si>
    <t>КР=(Си*Ки)*0,2, руб/мес</t>
  </si>
  <si>
    <t>П=((Си*Ки)+КР)*0,05, руб/мес</t>
  </si>
  <si>
    <t>1</t>
  </si>
  <si>
    <t>2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</si>
  <si>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</si>
  <si>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</si>
  <si>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</si>
  <si>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</si>
  <si>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</si>
  <si>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</si>
  <si>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</si>
  <si>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</si>
  <si>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</si>
  <si>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</si>
  <si>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</si>
  <si>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</si>
  <si>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</si>
  <si>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</si>
  <si>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</si>
  <si>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</si>
  <si>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</si>
  <si>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</si>
  <si>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</si>
  <si>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</si>
  <si>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</si>
  <si>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</si>
  <si>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</si>
  <si>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</si>
  <si>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</si>
  <si>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</si>
  <si>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</si>
  <si>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</si>
  <si>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</si>
  <si>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</si>
  <si>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</si>
  <si>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</si>
  <si>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40</t>
  </si>
  <si>
    <t>41</t>
  </si>
  <si>
    <t>44</t>
  </si>
  <si>
    <t>ИТОГО</t>
  </si>
  <si>
    <t>принимается равным 1, если расчет НМЦК и начало срока действия контракта приходятся на один календарный год,
иначе рассчитывается как средне арифметическое между индексами на каждый год срока действия контракта в соответствии с ПП РФ от 14.11.2015 №1234</t>
  </si>
  <si>
    <r>
      <t xml:space="preserve">Дополнительные коэффициенты Uд (суммарное значение дополнительных коэффициентов </t>
    </r>
    <r>
      <rPr>
        <b/>
        <u/>
        <sz val="14"/>
        <rFont val="Times New Roman"/>
        <family val="1"/>
        <charset val="204"/>
      </rPr>
      <t>не может превышать 0,35)</t>
    </r>
  </si>
  <si>
    <t>Стоимость оказания услуги по защите жизни и здоровья граждан, предусмотренный контрактом 
(С зж)</t>
  </si>
  <si>
    <t>Начальная (максимальная) цена контракта с учетом человеко-часов, всего **</t>
  </si>
  <si>
    <t>НДС, руб/мес
((Си*Ки)+КР+П+С зж)*Iинфл)*0,2</t>
  </si>
  <si>
    <t>(Си*Ки)+КР+П+С зж)*Iинфл+НДС</t>
  </si>
  <si>
    <t>Объект</t>
  </si>
  <si>
    <t>Наименование услуги</t>
  </si>
  <si>
    <t>Кол-во</t>
  </si>
  <si>
    <t>Ед. изм.</t>
  </si>
  <si>
    <t>Информация о ценах товаров, содержащихся в каталогах, обращенных к неопределенному кругу лиц (стоимость, руб.)</t>
  </si>
  <si>
    <t>Однородность совокупности значений выявленных цен, используемых в расчете Н(М)ЦК</t>
  </si>
  <si>
    <t>Средняя арифметическая цена за единицу &lt;ц&gt;</t>
  </si>
  <si>
    <t>Среднее квадратичное отклонение</t>
  </si>
  <si>
    <r>
      <rPr>
        <b/>
        <sz val="12"/>
        <rFont val="Times New Roman"/>
        <family val="1"/>
        <charset val="204"/>
      </rPr>
      <t xml:space="preserve">коэффициент вариации цен V (%)           </t>
    </r>
    <r>
      <rPr>
        <i/>
        <sz val="12"/>
        <rFont val="Times New Roman"/>
        <family val="1"/>
        <charset val="204"/>
      </rPr>
      <t xml:space="preserve">         (не должен превышать 15%)</t>
    </r>
  </si>
  <si>
    <t>чел/час</t>
  </si>
  <si>
    <t>Пост № 2 ГБУЗ ЛО "Выборгская межрайонная больница", 188800, Ленинградская область, г. Выборг, ул. Октябрьская, д.2</t>
  </si>
  <si>
    <t>Услуги по защите жизни и здоровья граждан</t>
  </si>
  <si>
    <t>За Н(М)ЦК принята минимальная цена из предложенных коммерческих предложений.</t>
  </si>
  <si>
    <t>Цена за единицу измерения  (рублей)</t>
  </si>
  <si>
    <t>Н(М)ЦК  (рублей)</t>
  </si>
  <si>
    <t>Расчёт стоимости дополнительных услуг (Стоимость оказания услуги по защите жизни и здоровья граждан, предусмотренный контрактом (С зж))</t>
  </si>
  <si>
    <t>ОБОСНОВАНИЕ НАЧАЛЬНОЙ (МАКСИМАЛЬНОЙ) ЦЕНЫ КОНТРАКТА
Оказание услуг по физической охране, обеспечению контрольно-пропускного режима в медицинском учреждении</t>
  </si>
  <si>
    <t xml:space="preserve">Утверждаю
Главный врач 
ГБУЗ ЛО «Выборгская МБ»
____________ /Карасёв О.С.
</t>
  </si>
  <si>
    <r>
      <t xml:space="preserve">** Начальная максимальная цена контракта (далее - НМЦК), рассчитанная в соответствии с приказом Росгвардии от 15.02.2021 № 45 составила 2 998 533,72 руб. 
Вместе с тем, в закупке применяется обязательный код КТРУ 80.10.12.000-00000003 с единицей измерения чел/час, в связи с чем Закзачику необходимо определить цену единицы услуги, которую Заказчик вынужден округлить до двух цифр после запятой. 
В связи с вынужденным округлением НМЦК составила </t>
    </r>
    <r>
      <rPr>
        <b/>
        <sz val="14"/>
        <rFont val="Times New Roman"/>
        <family val="1"/>
        <charset val="204"/>
      </rPr>
      <t>2 998 520 (два миллиона девятьсот девяносто восемь тысяч пятьсот двадцать) рублей 88 копеек.</t>
    </r>
  </si>
  <si>
    <t>Расчет начальной (максимальной) цены контракта произведен в соответствии с с требованиями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нужд», Приказа Росгвардии от 15.02.2021 № 45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охранных услуг».</t>
  </si>
  <si>
    <t>Коммерческое предложение № 616 от 21.09.2026 г.</t>
  </si>
  <si>
    <t>Коммерческое предложение № 617 от 21.09.2026 г.</t>
  </si>
  <si>
    <t>Коммерческое предложение № 618 от 21.09.2026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</si>
</sst>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0"/>
    <numFmt numFmtId="165" formatCode="#,##0.0"/>
    <numFmt numFmtId="166" formatCode="0.0%"/>
    <numFmt numFmtId="167" formatCode="0.0"/>
    <numFmt numFmtId="168" formatCode="0.00_ "/>
    <numFmt numFmtId="169" formatCode="#\ ##0.00"/>
    <numFmt numFmtId="170" formatCode="#\ ##0.00_ "/>
  </numFmts>
  <fonts count="1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4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167" fontId="2" fillId="0" borderId="2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2" fontId="2" fillId="0" borderId="2" xfId="0" applyNumberFormat="1" applyFont="1" applyBorder="1" applyAlignment="1">
      <alignment vertical="center"/>
    </xf>
    <xf numFmtId="165" fontId="3" fillId="0" borderId="2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vertical="center"/>
    </xf>
    <xf numFmtId="0" fontId="2" fillId="0" borderId="2" xfId="0" applyFont="1" applyBorder="1"/>
    <xf numFmtId="4" fontId="2" fillId="0" borderId="2" xfId="0" applyNumberFormat="1" applyFont="1" applyBorder="1" applyAlignment="1">
      <alignment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4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top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168" fontId="8" fillId="0" borderId="2" xfId="0" applyNumberFormat="1" applyFont="1" applyFill="1" applyBorder="1" applyAlignment="1">
      <alignment horizontal="center" vertical="center" wrapText="1"/>
    </xf>
    <xf numFmtId="169" fontId="8" fillId="0" borderId="2" xfId="0" applyNumberFormat="1" applyFont="1" applyFill="1" applyBorder="1" applyAlignment="1">
      <alignment horizontal="center" vertical="center"/>
    </xf>
    <xf numFmtId="170" fontId="8" fillId="0" borderId="2" xfId="0" applyNumberFormat="1" applyFont="1" applyFill="1" applyBorder="1" applyAlignment="1">
      <alignment horizontal="center" vertical="center"/>
    </xf>
    <xf numFmtId="169" fontId="10" fillId="0" borderId="2" xfId="0" applyNumberFormat="1" applyFont="1" applyFill="1" applyBorder="1" applyAlignment="1">
      <alignment horizontal="center" vertic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169" fontId="8" fillId="0" borderId="2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169" fontId="8" fillId="0" borderId="0" xfId="0" applyNumberFormat="1" applyFont="1" applyFill="1" applyBorder="1" applyAlignment="1">
      <alignment vertical="center"/>
    </xf>
    <xf numFmtId="0" fontId="12" fillId="0" borderId="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4" fontId="2" fillId="0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textRotation="90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58058</xdr:colOff>
      <xdr:row>15</xdr:row>
      <xdr:rowOff>1698624</xdr:rowOff>
    </xdr:from>
    <xdr:to>
      <xdr:col>12</xdr:col>
      <xdr:colOff>935448</xdr:colOff>
      <xdr:row>15</xdr:row>
      <xdr:rowOff>2246993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6479158" y="18557874"/>
          <a:ext cx="877390" cy="54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156029</xdr:colOff>
      <xdr:row>15</xdr:row>
      <xdr:rowOff>1741871</xdr:rowOff>
    </xdr:from>
    <xdr:to>
      <xdr:col>11</xdr:col>
      <xdr:colOff>1651000</xdr:colOff>
      <xdr:row>15</xdr:row>
      <xdr:rowOff>2478769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614979" y="18601121"/>
          <a:ext cx="1494971" cy="736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7"/>
  <sheetViews>
    <sheetView tabSelected="1" topLeftCell="V4" zoomScale="60" zoomScaleNormal="60" workbookViewId="0">
      <selection activeCell="H16" sqref="H16:J16"/>
    </sheetView>
  </sheetViews>
  <sheetFormatPr defaultRowHeight="18.75" x14ac:dyDescent="0.3"/>
  <cols>
    <col min="1" max="1" width="4.140625" style="3" bestFit="1" customWidth="1"/>
    <col min="2" max="2" width="78.7109375" style="3" customWidth="1"/>
    <col min="3" max="3" width="16.28515625" style="3" customWidth="1"/>
    <col min="4" max="4" width="13.7109375" style="3" customWidth="1"/>
    <col min="5" max="5" width="16.85546875" style="3" customWidth="1"/>
    <col min="6" max="6" width="19.85546875" style="3" customWidth="1"/>
    <col min="7" max="7" width="22" style="3" customWidth="1"/>
    <col min="8" max="8" width="27.42578125" style="3" customWidth="1"/>
    <col min="9" max="9" width="23" style="3" customWidth="1"/>
    <col min="10" max="10" width="22.42578125" style="3" customWidth="1"/>
    <col min="11" max="11" width="17.28515625" style="3" customWidth="1"/>
    <col min="12" max="12" width="21.140625" style="3" customWidth="1"/>
    <col min="13" max="13" width="22" style="3" customWidth="1"/>
    <col min="14" max="14" width="15.140625" style="3" customWidth="1"/>
    <col min="15" max="15" width="19.7109375" style="3" customWidth="1"/>
    <col min="16" max="16" width="10.5703125" style="3" customWidth="1"/>
    <col min="17" max="17" width="15.7109375" style="3" customWidth="1"/>
    <col min="18" max="18" width="14.28515625" style="3" customWidth="1"/>
    <col min="19" max="19" width="14.42578125" style="3" customWidth="1"/>
    <col min="20" max="20" width="15.7109375" style="3" customWidth="1"/>
    <col min="21" max="21" width="23" style="3" customWidth="1"/>
    <col min="22" max="22" width="12.85546875" style="3" customWidth="1"/>
    <col min="23" max="23" width="15.28515625" style="3" customWidth="1"/>
    <col min="24" max="24" width="14.5703125" style="3" customWidth="1"/>
    <col min="25" max="25" width="19.28515625" style="3" customWidth="1"/>
    <col min="26" max="26" width="15" style="3" customWidth="1"/>
    <col min="27" max="27" width="15.7109375" style="3" customWidth="1"/>
    <col min="28" max="28" width="18" style="3" customWidth="1"/>
    <col min="29" max="29" width="10.28515625" style="3" customWidth="1"/>
    <col min="30" max="30" width="24.7109375" style="3" bestFit="1" customWidth="1"/>
    <col min="31" max="31" width="9.85546875" style="3" customWidth="1"/>
    <col min="32" max="32" width="29" style="3" bestFit="1" customWidth="1"/>
    <col min="33" max="33" width="29.5703125" style="3" bestFit="1" customWidth="1"/>
    <col min="34" max="34" width="30.7109375" style="3" customWidth="1"/>
    <col min="35" max="35" width="25" style="3" customWidth="1"/>
    <col min="36" max="36" width="27.140625" style="3" customWidth="1"/>
    <col min="37" max="37" width="28.5703125" style="3" customWidth="1"/>
    <col min="38" max="38" width="20.7109375" style="3" customWidth="1"/>
    <col min="39" max="39" width="28" style="3" customWidth="1"/>
    <col min="40" max="16384" width="9.140625" style="3"/>
  </cols>
  <sheetData>
    <row r="1" spans="1:39" ht="141" customHeight="1" x14ac:dyDescent="0.3">
      <c r="A1" s="1"/>
      <c r="B1" s="2"/>
      <c r="C1" s="1"/>
      <c r="D1" s="1"/>
      <c r="AI1" s="45" t="s">
        <v>118</v>
      </c>
      <c r="AJ1" s="45"/>
      <c r="AK1" s="45"/>
      <c r="AL1" s="45"/>
      <c r="AM1" s="45"/>
    </row>
    <row r="2" spans="1:39" ht="68.25" customHeight="1" x14ac:dyDescent="0.3">
      <c r="A2" s="46" t="s">
        <v>117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</row>
    <row r="3" spans="1:39" ht="59.25" customHeight="1" x14ac:dyDescent="0.3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47" t="s">
        <v>120</v>
      </c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28"/>
      <c r="AF3" s="28"/>
      <c r="AG3" s="28"/>
      <c r="AH3" s="28"/>
      <c r="AI3" s="28"/>
      <c r="AJ3" s="28"/>
      <c r="AK3" s="28"/>
      <c r="AL3" s="28"/>
      <c r="AM3" s="28"/>
    </row>
    <row r="4" spans="1:39" ht="83.25" customHeight="1" x14ac:dyDescent="0.3">
      <c r="A4" s="1"/>
      <c r="B4" s="4"/>
      <c r="C4" s="4"/>
      <c r="D4" s="4"/>
      <c r="E4" s="4"/>
      <c r="F4" s="4"/>
      <c r="G4" s="4"/>
      <c r="H4" s="4"/>
      <c r="I4" s="4"/>
      <c r="L4" s="48" t="s">
        <v>1</v>
      </c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</row>
    <row r="5" spans="1:39" ht="131.25" x14ac:dyDescent="0.3">
      <c r="A5" s="50" t="s">
        <v>2</v>
      </c>
      <c r="B5" s="50" t="s">
        <v>3</v>
      </c>
      <c r="C5" s="51" t="s">
        <v>4</v>
      </c>
      <c r="D5" s="51" t="s">
        <v>5</v>
      </c>
      <c r="E5" s="52" t="s">
        <v>96</v>
      </c>
      <c r="F5" s="52"/>
      <c r="G5" s="52"/>
      <c r="H5" s="52"/>
      <c r="I5" s="52"/>
      <c r="J5" s="52" t="s">
        <v>6</v>
      </c>
      <c r="K5" s="52"/>
      <c r="L5" s="30" t="s">
        <v>7</v>
      </c>
      <c r="M5" s="30" t="s">
        <v>8</v>
      </c>
      <c r="N5" s="30" t="s">
        <v>9</v>
      </c>
      <c r="O5" s="30" t="s">
        <v>10</v>
      </c>
      <c r="P5" s="30" t="s">
        <v>11</v>
      </c>
      <c r="Q5" s="30" t="s">
        <v>12</v>
      </c>
      <c r="R5" s="30" t="s">
        <v>13</v>
      </c>
      <c r="S5" s="30" t="s">
        <v>14</v>
      </c>
      <c r="T5" s="30" t="s">
        <v>15</v>
      </c>
      <c r="U5" s="30" t="s">
        <v>16</v>
      </c>
      <c r="V5" s="30" t="s">
        <v>17</v>
      </c>
      <c r="W5" s="30" t="s">
        <v>18</v>
      </c>
      <c r="X5" s="30" t="s">
        <v>19</v>
      </c>
      <c r="Y5" s="30" t="s">
        <v>20</v>
      </c>
      <c r="Z5" s="53" t="s">
        <v>21</v>
      </c>
      <c r="AA5" s="54"/>
      <c r="AB5" s="55"/>
      <c r="AC5" s="30" t="s">
        <v>22</v>
      </c>
      <c r="AD5" s="30" t="s">
        <v>23</v>
      </c>
      <c r="AE5" s="30" t="s">
        <v>24</v>
      </c>
      <c r="AF5" s="30" t="s">
        <v>25</v>
      </c>
      <c r="AG5" s="30" t="s">
        <v>26</v>
      </c>
      <c r="AH5" s="30" t="s">
        <v>27</v>
      </c>
      <c r="AI5" s="30" t="s">
        <v>28</v>
      </c>
      <c r="AJ5" s="30" t="s">
        <v>29</v>
      </c>
      <c r="AK5" s="56" t="s">
        <v>30</v>
      </c>
      <c r="AL5" s="56" t="s">
        <v>31</v>
      </c>
      <c r="AM5" s="56" t="s">
        <v>98</v>
      </c>
    </row>
    <row r="6" spans="1:39" ht="258" customHeight="1" x14ac:dyDescent="0.3">
      <c r="A6" s="50"/>
      <c r="B6" s="50"/>
      <c r="C6" s="51"/>
      <c r="D6" s="51"/>
      <c r="E6" s="30" t="s">
        <v>32</v>
      </c>
      <c r="F6" s="30" t="s">
        <v>33</v>
      </c>
      <c r="G6" s="30" t="s">
        <v>34</v>
      </c>
      <c r="H6" s="30" t="s">
        <v>35</v>
      </c>
      <c r="I6" s="30" t="s">
        <v>36</v>
      </c>
      <c r="J6" s="30" t="s">
        <v>37</v>
      </c>
      <c r="K6" s="30" t="s">
        <v>97</v>
      </c>
      <c r="L6" s="30" t="s">
        <v>38</v>
      </c>
      <c r="M6" s="30" t="s">
        <v>39</v>
      </c>
      <c r="N6" s="30" t="s">
        <v>40</v>
      </c>
      <c r="O6" s="30" t="s">
        <v>41</v>
      </c>
      <c r="P6" s="30" t="s">
        <v>41</v>
      </c>
      <c r="Q6" s="30" t="s">
        <v>41</v>
      </c>
      <c r="R6" s="30" t="s">
        <v>42</v>
      </c>
      <c r="S6" s="30" t="s">
        <v>43</v>
      </c>
      <c r="T6" s="30" t="s">
        <v>43</v>
      </c>
      <c r="U6" s="30" t="s">
        <v>44</v>
      </c>
      <c r="V6" s="30" t="s">
        <v>45</v>
      </c>
      <c r="W6" s="30" t="s">
        <v>46</v>
      </c>
      <c r="X6" s="30" t="s">
        <v>47</v>
      </c>
      <c r="Y6" s="30" t="s">
        <v>48</v>
      </c>
      <c r="Z6" s="30" t="s">
        <v>49</v>
      </c>
      <c r="AA6" s="30" t="s">
        <v>50</v>
      </c>
      <c r="AB6" s="30" t="s">
        <v>51</v>
      </c>
      <c r="AC6" s="30" t="s">
        <v>52</v>
      </c>
      <c r="AD6" s="30" t="s">
        <v>53</v>
      </c>
      <c r="AE6" s="30" t="s">
        <v>54</v>
      </c>
      <c r="AF6" s="30" t="s">
        <v>55</v>
      </c>
      <c r="AG6" s="30" t="s">
        <v>56</v>
      </c>
      <c r="AH6" s="30" t="s">
        <v>95</v>
      </c>
      <c r="AI6" s="30" t="s">
        <v>99</v>
      </c>
      <c r="AJ6" s="30" t="s">
        <v>100</v>
      </c>
      <c r="AK6" s="57"/>
      <c r="AL6" s="57"/>
      <c r="AM6" s="57"/>
    </row>
    <row r="7" spans="1:39" x14ac:dyDescent="0.3">
      <c r="A7" s="30" t="s">
        <v>57</v>
      </c>
      <c r="B7" s="30" t="s">
        <v>58</v>
      </c>
      <c r="C7" s="30" t="s">
        <v>59</v>
      </c>
      <c r="D7" s="30" t="s">
        <v>60</v>
      </c>
      <c r="E7" s="30" t="s">
        <v>61</v>
      </c>
      <c r="F7" s="30" t="s">
        <v>0</v>
      </c>
      <c r="G7" s="30" t="s">
        <v>62</v>
      </c>
      <c r="H7" s="30" t="s">
        <v>63</v>
      </c>
      <c r="I7" s="30" t="s">
        <v>64</v>
      </c>
      <c r="J7" s="30" t="s">
        <v>65</v>
      </c>
      <c r="K7" s="30" t="s">
        <v>66</v>
      </c>
      <c r="L7" s="30" t="s">
        <v>67</v>
      </c>
      <c r="M7" s="30" t="s">
        <v>68</v>
      </c>
      <c r="N7" s="30" t="s">
        <v>69</v>
      </c>
      <c r="O7" s="30" t="s">
        <v>70</v>
      </c>
      <c r="P7" s="30" t="s">
        <v>71</v>
      </c>
      <c r="Q7" s="30" t="s">
        <v>72</v>
      </c>
      <c r="R7" s="30" t="s">
        <v>73</v>
      </c>
      <c r="S7" s="30" t="s">
        <v>74</v>
      </c>
      <c r="T7" s="30" t="s">
        <v>75</v>
      </c>
      <c r="U7" s="30" t="s">
        <v>76</v>
      </c>
      <c r="V7" s="30" t="s">
        <v>77</v>
      </c>
      <c r="W7" s="30" t="s">
        <v>78</v>
      </c>
      <c r="X7" s="30" t="s">
        <v>79</v>
      </c>
      <c r="Y7" s="30" t="s">
        <v>80</v>
      </c>
      <c r="Z7" s="30" t="s">
        <v>81</v>
      </c>
      <c r="AA7" s="30" t="s">
        <v>82</v>
      </c>
      <c r="AB7" s="30" t="s">
        <v>82</v>
      </c>
      <c r="AC7" s="30" t="s">
        <v>83</v>
      </c>
      <c r="AD7" s="30" t="s">
        <v>84</v>
      </c>
      <c r="AE7" s="30" t="s">
        <v>85</v>
      </c>
      <c r="AF7" s="30" t="s">
        <v>86</v>
      </c>
      <c r="AG7" s="30" t="s">
        <v>87</v>
      </c>
      <c r="AH7" s="30" t="s">
        <v>88</v>
      </c>
      <c r="AI7" s="30" t="s">
        <v>89</v>
      </c>
      <c r="AJ7" s="30" t="s">
        <v>90</v>
      </c>
      <c r="AK7" s="30" t="s">
        <v>91</v>
      </c>
      <c r="AL7" s="30" t="s">
        <v>92</v>
      </c>
      <c r="AM7" s="30" t="s">
        <v>93</v>
      </c>
    </row>
    <row r="8" spans="1:39" ht="56.25" x14ac:dyDescent="0.3">
      <c r="A8" s="5">
        <v>1</v>
      </c>
      <c r="B8" s="21" t="s">
        <v>111</v>
      </c>
      <c r="C8" s="5">
        <v>1</v>
      </c>
      <c r="D8" s="6">
        <v>12</v>
      </c>
      <c r="E8" s="5">
        <v>0</v>
      </c>
      <c r="F8" s="5">
        <v>0</v>
      </c>
      <c r="G8" s="5">
        <v>0</v>
      </c>
      <c r="H8" s="5">
        <v>0.1</v>
      </c>
      <c r="I8" s="5">
        <v>0</v>
      </c>
      <c r="J8" s="5">
        <v>0</v>
      </c>
      <c r="K8" s="44">
        <f>O17</f>
        <v>55521</v>
      </c>
      <c r="L8" s="23">
        <v>27440</v>
      </c>
      <c r="M8" s="22">
        <v>164.33</v>
      </c>
      <c r="N8" s="22">
        <f>ROUND(L8/M8,2)</f>
        <v>166.98</v>
      </c>
      <c r="O8" s="23">
        <v>372</v>
      </c>
      <c r="P8" s="24">
        <v>12</v>
      </c>
      <c r="Q8" s="24">
        <v>0</v>
      </c>
      <c r="R8" s="22">
        <f>ROUND(N8*20%*(Q8/P8),2)</f>
        <v>0</v>
      </c>
      <c r="S8" s="24">
        <v>31</v>
      </c>
      <c r="T8" s="24">
        <v>0</v>
      </c>
      <c r="U8" s="22">
        <v>0</v>
      </c>
      <c r="V8" s="22">
        <v>0</v>
      </c>
      <c r="W8" s="22">
        <f>ROUND((N8+R8+U8)/12,2)</f>
        <v>13.92</v>
      </c>
      <c r="X8" s="22">
        <v>30.2</v>
      </c>
      <c r="Y8" s="22">
        <f>ROUND((N8+R8+U8+V8+W8)*0.302,2)</f>
        <v>54.63</v>
      </c>
      <c r="Z8" s="5">
        <v>0</v>
      </c>
      <c r="AA8" s="5">
        <v>1.5</v>
      </c>
      <c r="AB8" s="5">
        <v>0</v>
      </c>
      <c r="AC8" s="8">
        <f>Z8+H8+E8+AA8+AB8</f>
        <v>1.6</v>
      </c>
      <c r="AD8" s="7">
        <f>ROUND((N8+R8+U8+V8+W8+Y8)*AC8,2)</f>
        <v>376.85</v>
      </c>
      <c r="AE8" s="5">
        <f>C8</f>
        <v>1</v>
      </c>
      <c r="AF8" s="8">
        <f>ROUND(AD8*O8*0.2,2)</f>
        <v>28037.64</v>
      </c>
      <c r="AG8" s="8">
        <f>ROUND(((AD8*O8)+AF8)*0.05,2)</f>
        <v>8411.2900000000009</v>
      </c>
      <c r="AH8" s="25">
        <v>1</v>
      </c>
      <c r="AI8" s="8">
        <f>ROUND(((AD8*O8)+AF8+AG8+K8)*AH8*0.22,2)</f>
        <v>51074.79</v>
      </c>
      <c r="AJ8" s="8">
        <f>ROUND(((AD8*O8)+AF8+AG8+K8)*AH8+AI8,2)</f>
        <v>283232.92</v>
      </c>
      <c r="AK8" s="9">
        <f>ROUNDDOWN((AJ8/O8),2)</f>
        <v>761.37</v>
      </c>
      <c r="AL8" s="9">
        <f>O8</f>
        <v>372</v>
      </c>
      <c r="AM8" s="9">
        <f>AK8*AL8</f>
        <v>283229.64</v>
      </c>
    </row>
    <row r="9" spans="1:39" x14ac:dyDescent="0.3">
      <c r="A9" s="10"/>
      <c r="B9" s="29" t="s">
        <v>94</v>
      </c>
      <c r="C9" s="10"/>
      <c r="D9" s="10"/>
      <c r="E9" s="11"/>
      <c r="F9" s="11"/>
      <c r="G9" s="11"/>
      <c r="H9" s="11"/>
      <c r="I9" s="11"/>
      <c r="J9" s="11"/>
      <c r="K9" s="11"/>
      <c r="L9" s="12"/>
      <c r="M9" s="13"/>
      <c r="N9" s="13"/>
      <c r="O9" s="14">
        <f>SUM(O8:O8)</f>
        <v>372</v>
      </c>
      <c r="P9" s="11"/>
      <c r="Q9" s="11"/>
      <c r="R9" s="13"/>
      <c r="S9" s="11"/>
      <c r="T9" s="11"/>
      <c r="U9" s="13"/>
      <c r="V9" s="13"/>
      <c r="W9" s="13"/>
      <c r="X9" s="15"/>
      <c r="Y9" s="13"/>
      <c r="Z9" s="11"/>
      <c r="AA9" s="11"/>
      <c r="AB9" s="11"/>
      <c r="AC9" s="11"/>
      <c r="AD9" s="16"/>
      <c r="AE9" s="11"/>
      <c r="AF9" s="17"/>
      <c r="AG9" s="17"/>
      <c r="AH9" s="17"/>
      <c r="AI9" s="17"/>
      <c r="AJ9" s="8">
        <f>SUM(AJ8:AJ8)</f>
        <v>283232.92</v>
      </c>
      <c r="AK9" s="9">
        <f>SUM(AK8:AK8)</f>
        <v>761.37</v>
      </c>
      <c r="AL9" s="9">
        <f>SUM(AL8:AL8)</f>
        <v>372</v>
      </c>
      <c r="AM9" s="9">
        <f>SUM(AM8:AM8)</f>
        <v>283229.64</v>
      </c>
    </row>
    <row r="10" spans="1:39" x14ac:dyDescent="0.3">
      <c r="A10" s="1"/>
      <c r="B10" s="2"/>
      <c r="C10" s="1"/>
      <c r="D10" s="1"/>
      <c r="K10" s="18"/>
      <c r="M10" s="20"/>
    </row>
    <row r="11" spans="1:39" ht="66.75" customHeight="1" x14ac:dyDescent="0.3">
      <c r="A11" s="1"/>
      <c r="B11" s="62" t="s">
        <v>119</v>
      </c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</row>
    <row r="12" spans="1:39" x14ac:dyDescent="0.3">
      <c r="A12" s="1"/>
      <c r="B12" s="2"/>
      <c r="C12" s="1"/>
      <c r="D12" s="1"/>
      <c r="K12" s="18"/>
      <c r="M12" s="20"/>
    </row>
    <row r="13" spans="1:39" x14ac:dyDescent="0.3">
      <c r="A13" s="1"/>
      <c r="B13" s="2"/>
      <c r="C13" s="1"/>
      <c r="D13" s="1"/>
      <c r="K13" s="18"/>
      <c r="M13" s="20"/>
    </row>
    <row r="14" spans="1:39" ht="41.25" customHeight="1" x14ac:dyDescent="0.3">
      <c r="A14" s="19"/>
      <c r="B14" s="67" t="s">
        <v>116</v>
      </c>
      <c r="C14" s="67"/>
      <c r="D14" s="67"/>
      <c r="E14" s="67"/>
      <c r="F14" s="67"/>
      <c r="G14" s="67"/>
      <c r="H14" s="67"/>
      <c r="I14" s="67"/>
      <c r="J14" s="67"/>
      <c r="K14" s="27"/>
      <c r="L14" s="2"/>
      <c r="M14" s="20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</row>
    <row r="15" spans="1:39" ht="70.5" customHeight="1" x14ac:dyDescent="0.3">
      <c r="A15" s="64" t="s">
        <v>2</v>
      </c>
      <c r="B15" s="58" t="s">
        <v>101</v>
      </c>
      <c r="C15" s="58" t="s">
        <v>102</v>
      </c>
      <c r="D15" s="58"/>
      <c r="E15" s="58"/>
      <c r="F15" s="58" t="s">
        <v>103</v>
      </c>
      <c r="G15" s="58" t="s">
        <v>104</v>
      </c>
      <c r="H15" s="59" t="s">
        <v>105</v>
      </c>
      <c r="I15" s="60"/>
      <c r="J15" s="61"/>
      <c r="K15" s="68" t="s">
        <v>106</v>
      </c>
      <c r="L15" s="68"/>
      <c r="M15" s="68"/>
      <c r="N15" s="65" t="s">
        <v>113</v>
      </c>
      <c r="O15" s="66"/>
      <c r="P15" s="40"/>
      <c r="Q15" s="40"/>
    </row>
    <row r="16" spans="1:39" ht="219.75" customHeight="1" x14ac:dyDescent="0.3">
      <c r="A16" s="64"/>
      <c r="B16" s="58"/>
      <c r="C16" s="58"/>
      <c r="D16" s="58"/>
      <c r="E16" s="58"/>
      <c r="F16" s="58"/>
      <c r="G16" s="58"/>
      <c r="H16" s="69" t="s">
        <v>121</v>
      </c>
      <c r="I16" s="69" t="s">
        <v>122</v>
      </c>
      <c r="J16" s="69" t="s">
        <v>123</v>
      </c>
      <c r="K16" s="31" t="s">
        <v>107</v>
      </c>
      <c r="L16" s="31" t="s">
        <v>108</v>
      </c>
      <c r="M16" s="32" t="s">
        <v>109</v>
      </c>
      <c r="N16" s="42" t="s">
        <v>114</v>
      </c>
      <c r="O16" s="43" t="s">
        <v>115</v>
      </c>
      <c r="P16" s="40"/>
      <c r="Q16" s="40"/>
    </row>
    <row r="17" spans="1:17" ht="74.25" customHeight="1" x14ac:dyDescent="0.3">
      <c r="A17" s="5">
        <v>1</v>
      </c>
      <c r="B17" s="21" t="s">
        <v>111</v>
      </c>
      <c r="C17" s="58" t="s">
        <v>112</v>
      </c>
      <c r="D17" s="58"/>
      <c r="E17" s="58"/>
      <c r="F17" s="37">
        <f>O8</f>
        <v>372</v>
      </c>
      <c r="G17" s="38" t="s">
        <v>110</v>
      </c>
      <c r="H17" s="34">
        <v>149.25</v>
      </c>
      <c r="I17" s="36">
        <v>149.94999999999999</v>
      </c>
      <c r="J17" s="36">
        <v>149.6</v>
      </c>
      <c r="K17" s="33">
        <f>(H17+I17+J17)/3</f>
        <v>149.6</v>
      </c>
      <c r="L17" s="35">
        <f>SQRT(((SUM((POWER(J17-K17,2)),(POWER(I17-K17,2)),(POWER(H17-K17,2))))/(3-1)))</f>
        <v>0.34999999999999432</v>
      </c>
      <c r="M17" s="35">
        <f>L17/K17*100</f>
        <v>0.23395721925133312</v>
      </c>
      <c r="N17" s="39">
        <f>MIN(H17:J17)</f>
        <v>149.25</v>
      </c>
      <c r="O17" s="39">
        <f>N17*F17</f>
        <v>55521</v>
      </c>
      <c r="P17" s="41"/>
      <c r="Q17" s="41"/>
    </row>
  </sheetData>
  <mergeCells count="25">
    <mergeCell ref="C17:E17"/>
    <mergeCell ref="H15:J15"/>
    <mergeCell ref="B11:Q11"/>
    <mergeCell ref="A15:A16"/>
    <mergeCell ref="B15:B16"/>
    <mergeCell ref="C15:E16"/>
    <mergeCell ref="F15:F16"/>
    <mergeCell ref="G15:G16"/>
    <mergeCell ref="N15:O15"/>
    <mergeCell ref="B14:J14"/>
    <mergeCell ref="K15:M15"/>
    <mergeCell ref="AI1:AM1"/>
    <mergeCell ref="A2:AM2"/>
    <mergeCell ref="L3:AD3"/>
    <mergeCell ref="L4:AD4"/>
    <mergeCell ref="A5:A6"/>
    <mergeCell ref="B5:B6"/>
    <mergeCell ref="C5:C6"/>
    <mergeCell ref="D5:D6"/>
    <mergeCell ref="E5:I5"/>
    <mergeCell ref="J5:K5"/>
    <mergeCell ref="Z5:AB5"/>
    <mergeCell ref="AK5:AK6"/>
    <mergeCell ref="AL5:AL6"/>
    <mergeCell ref="AM5:AM6"/>
  </mergeCells>
  <pageMargins left="0.31496062992125984" right="0.31496062992125984" top="0.35433070866141736" bottom="0.35433070866141736" header="0.31496062992125984" footer="0.31496062992125984"/>
  <pageSetup paperSize="9" scale="34" fitToWidth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октябрь 12 часов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2026-09-23T05:15:09Z</dcterms:modified>
</cp:coreProperties>
</file>