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bryninaEE\Desktop\Закупки\846\"/>
    </mc:Choice>
  </mc:AlternateContent>
  <bookViews>
    <workbookView xWindow="0" yWindow="0" windowWidth="28800" windowHeight="12435" tabRatio="763" activeTab="5"/>
  </bookViews>
  <sheets>
    <sheet name="Справочник лекарств" sheetId="7" r:id="rId1"/>
    <sheet name="тарифный метод (только ЖНВЛП)" sheetId="2" r:id="rId2"/>
    <sheet name="Средневзвешенная" sheetId="8" r:id="rId3"/>
    <sheet name="анализ рынка" sheetId="1" r:id="rId4"/>
    <sheet name="Выбор минимального значения" sheetId="6" r:id="rId5"/>
    <sheet name="РНМЦД" sheetId="4" r:id="rId6"/>
  </sheets>
  <definedNames>
    <definedName name="_xlnm._FilterDatabase" localSheetId="1" hidden="1">'тарифный метод (только ЖНВЛП)'!$A$7:$K$7</definedName>
  </definedNames>
  <calcPr calcId="152511"/>
</workbook>
</file>

<file path=xl/calcChain.xml><?xml version="1.0" encoding="utf-8"?>
<calcChain xmlns="http://schemas.openxmlformats.org/spreadsheetml/2006/main">
  <c r="K11" i="4" l="1"/>
  <c r="I11" i="4"/>
  <c r="N15" i="4"/>
  <c r="K10" i="4"/>
  <c r="H14" i="1"/>
  <c r="N14" i="4"/>
  <c r="N13" i="4"/>
  <c r="N12" i="4"/>
  <c r="N11" i="4"/>
  <c r="N10" i="4"/>
  <c r="L14" i="4"/>
  <c r="L13" i="4"/>
  <c r="L12" i="4"/>
  <c r="L11" i="4"/>
  <c r="K14" i="4"/>
  <c r="K13" i="4"/>
  <c r="K12" i="4"/>
  <c r="I12" i="4"/>
  <c r="I13" i="4"/>
  <c r="I14" i="4"/>
  <c r="H9" i="6"/>
  <c r="H8" i="6"/>
  <c r="H7" i="6"/>
  <c r="H6" i="6"/>
  <c r="I6" i="6"/>
  <c r="I7" i="6"/>
  <c r="I8" i="6"/>
  <c r="I9" i="6"/>
  <c r="E14" i="1"/>
  <c r="H73" i="2"/>
  <c r="H74" i="2"/>
  <c r="H72" i="2"/>
  <c r="E13" i="1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48" i="2"/>
  <c r="F48" i="2"/>
  <c r="H45" i="2"/>
  <c r="H46" i="2"/>
  <c r="H47" i="2"/>
  <c r="H44" i="2"/>
  <c r="F47" i="2"/>
  <c r="F46" i="2"/>
  <c r="F45" i="2"/>
  <c r="F44" i="2"/>
  <c r="E12" i="1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24" i="2"/>
  <c r="F42" i="2"/>
  <c r="F41" i="2"/>
  <c r="F38" i="2"/>
  <c r="F35" i="2"/>
  <c r="F33" i="2"/>
  <c r="F32" i="2"/>
  <c r="F31" i="2"/>
  <c r="F30" i="2"/>
  <c r="F29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8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G13" i="1" l="1"/>
  <c r="G10" i="1"/>
  <c r="G11" i="1"/>
  <c r="G14" i="1"/>
  <c r="G12" i="1"/>
  <c r="H12" i="1"/>
  <c r="H13" i="1"/>
  <c r="H11" i="1"/>
  <c r="B6" i="8"/>
  <c r="B14" i="8"/>
  <c r="B12" i="8"/>
  <c r="B10" i="8"/>
  <c r="B8" i="8"/>
  <c r="F15" i="8"/>
  <c r="F11" i="8"/>
  <c r="F13" i="8"/>
  <c r="F9" i="8"/>
  <c r="H5" i="6" l="1"/>
  <c r="H10" i="1" l="1"/>
  <c r="I5" i="6" l="1"/>
  <c r="I10" i="4" l="1"/>
  <c r="F7" i="8" l="1"/>
  <c r="H17" i="4" l="1"/>
</calcChain>
</file>

<file path=xl/sharedStrings.xml><?xml version="1.0" encoding="utf-8"?>
<sst xmlns="http://schemas.openxmlformats.org/spreadsheetml/2006/main" count="590" uniqueCount="202">
  <si>
    <t>№ п/п</t>
  </si>
  <si>
    <t>МНН или при отсутствии МНН химическое, группировочное наименование Товара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</si>
  <si>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</si>
  <si>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</si>
  <si>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</si>
  <si>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 xml:space="preserve">Расчет начальной (максимальной) цены контракта осуществляется по формуле: </t>
  </si>
  <si>
    <t>Минимальное значение НМЦ Товара за единицу измерения, руб.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</si>
  <si>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</si>
  <si>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</si>
  <si>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</si>
  <si>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Обоснование формирования начальной (максимальной) цены контракта: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</si>
  <si>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</si>
  <si>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</si>
  <si>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</si>
  <si>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</si>
  <si>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</si>
  <si>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</si>
  <si>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</si>
  <si>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</si>
  <si>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</si>
  <si>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</si>
  <si>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</si>
  <si>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</si>
  <si>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</si>
  <si>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</si>
  <si>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</si>
  <si>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</si>
  <si>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</si>
  <si>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</si>
  <si>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>Количество в потребительской упаковке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</si>
  <si>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</si>
  <si>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</si>
  <si>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</si>
  <si>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Наименьшая цена единицы лекарственного препараты</t>
  </si>
  <si>
    <t>Цена за упаковку, руб.</t>
  </si>
  <si>
    <t>Количество упаковок</t>
  </si>
  <si>
    <t xml:space="preserve">Цена **по контракту за упаковку без НДС и оптовой надбавки, руб </t>
  </si>
  <si>
    <t>Цена **по  контракту за штуку без НДС и оптовой надбавки, руб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</si>
  <si>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</si>
  <si>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</si>
  <si>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Примечание</t>
  </si>
  <si>
    <t>а)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</si>
  <si>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</si>
  <si>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Всего</t>
  </si>
  <si>
    <t>Торговое наименование, дозировка, лекарственная форма</t>
  </si>
  <si>
    <t>Да</t>
  </si>
  <si>
    <t>РАСЧЕТ НАЧАЛЬНОЙ (МАКСИМАЛЬНОЙ) ЦЕНЫ КОНТРАКТА</t>
  </si>
  <si>
    <t>Количество шт в упаковке</t>
  </si>
  <si>
    <t>Количество шт всего</t>
  </si>
  <si>
    <r>
      <t xml:space="preserve">Цена для формирования НЦК с НДС </t>
    </r>
    <r>
      <rPr>
        <u/>
        <sz val="11"/>
        <color theme="1"/>
        <rFont val="Times New Roman"/>
        <family val="1"/>
        <charset val="204"/>
      </rPr>
      <t>с округлением</t>
    </r>
  </si>
  <si>
    <t>Кол-во в ед.измерения,  в 1 упаковке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</si>
  <si>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</si>
  <si>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</t>
  </si>
  <si>
    <t xml:space="preserve">в) Расчет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 ( Официальный сайт Единой информационной системы в сфере закупок zakupki.gov.ru), начальной цены единицы лекарственного препарата, проводится по формуле:
Цвзв=  (Ц_1  х k_1+⋯+Ц_n  х k_n)/(∑▒k_n )  , где:
Ц1 – цена единицы лекарственного препарата без учета НДС и оптовой надбавки;
       k – количество закупленных лекарственных препаратов в эквивалентных лекарственных формах и дозировках.
 Информация официального сайта Единой информационной системы в сфере закупок (http://zakupki.gov.ru) 
</t>
  </si>
  <si>
    <t>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</t>
  </si>
  <si>
    <t>Цена с НДС **</t>
  </si>
  <si>
    <t xml:space="preserve">       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</si>
  <si>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       **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</si>
  <si>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Оптовая надбавка *</t>
  </si>
  <si>
    <t>Цена для формирования НЦК с оптовой надбавкой для ЖНВЛП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</si>
  <si>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применялись: 
</t>
  </si>
  <si>
    <t xml:space="preserve">Применялись 2 метода расчета: 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</si>
  <si>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контракта.</t>
  </si>
  <si>
    <t xml:space="preserve">Начальная (максимальная) цена контракта составляет: </t>
  </si>
  <si>
    <t xml:space="preserve">   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</si>
  <si>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б)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</si>
  <si>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в)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- данный метод не применяется так как 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НМЦК.</t>
  </si>
  <si>
    <t>Зам. начальника материально - технического обеспечения и закупок  _______________________ / А.В.Красулина /</t>
  </si>
  <si>
    <t>Итого:</t>
  </si>
  <si>
    <t>Коммерческие предложения</t>
  </si>
  <si>
    <t xml:space="preserve">б)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 </t>
  </si>
  <si>
    <t>Не применялись 2 метода расчета:</t>
  </si>
  <si>
    <t>Объект закупки: Поставка лекарственных препаратов для медицинского применения: Диазепам, Фентанил, Кетамин, Тримеперидин, Морфин</t>
  </si>
  <si>
    <t>Диазепам</t>
  </si>
  <si>
    <t>21.20.10.235-000014-1-00090-0000000000000</t>
  </si>
  <si>
    <t>Раствор для инъекций
ГРЛС: Раствор для внутривенного и внутримышечного введения; Раствор для инъекций</t>
  </si>
  <si>
    <t>5 мг/мл
ГРЛС: 5 мг/мл, 10 мг/2 мл</t>
  </si>
  <si>
    <t>Кубический сантиметр; миллилитр</t>
  </si>
  <si>
    <t>Фентанил</t>
  </si>
  <si>
    <t>21.20.10.231-000012-1-00070-0000000000000</t>
  </si>
  <si>
    <t>Раствор для внутривенного и внутримышечного введения
ГРЛС: Раствор для внутривенного и внутримышечного введения</t>
  </si>
  <si>
    <t>0.05 мг/мл
ГРЛС: 50 мкг/мл</t>
  </si>
  <si>
    <t>Кетамин</t>
  </si>
  <si>
    <t>21.20.10.231-000024-1-00005-0000000000000</t>
  </si>
  <si>
    <t>50 мг/мл
ГРЛС: 50 мг/мл</t>
  </si>
  <si>
    <t>Тримеперидин</t>
  </si>
  <si>
    <t>21.20.10.231-000010-1-00043-0000000000000</t>
  </si>
  <si>
    <t>Раствор для инъекций
ГРЛС: Раствор для инъекций</t>
  </si>
  <si>
    <t>20 мг/мл
ГРЛС: 20 мг/мл</t>
  </si>
  <si>
    <t>Морфин</t>
  </si>
  <si>
    <t>21.20.10.232-000051-1-00243-0000000000000</t>
  </si>
  <si>
    <t>10 мг/мл
ГРЛС: 10 мг/мл, 1 %</t>
  </si>
  <si>
    <r>
      <t xml:space="preserve">         В целях получения ценовой информации в отношении поставляемого товара для определения НМЦК </t>
    </r>
    <r>
      <rPr>
        <b/>
        <sz val="11"/>
        <rFont val="Times New Roman"/>
        <family val="1"/>
        <charset val="204"/>
      </rPr>
      <t>был направлен запрос от 10-09/26 от 08.09.2026</t>
    </r>
    <r>
      <rPr>
        <sz val="11"/>
        <rFont val="Times New Roman"/>
        <family val="1"/>
        <charset val="204"/>
      </rPr>
      <t xml:space="preserve"> 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 было представлено ценовое предложение от 1 (одного) Поставщика.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44-ФЗ.  </t>
    </r>
  </si>
  <si>
    <t>Коммерческое предложение №2 (вх №________.)</t>
  </si>
  <si>
    <t>Коммерческое предложение №3 (вх №__________)</t>
  </si>
  <si>
    <t>Коммерческое предложение №1 (вх №6347 от 08.09.2026г.)</t>
  </si>
  <si>
    <t xml:space="preserve">г)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- данный метод не применяется так как на момент формирования НМЦК (от 09.2026) информация о референтной цене на официальном сайте Единой информационной системы в сфере закупок (http://zakupki.gov.ru): отсутствует. </t>
  </si>
  <si>
    <t>Сибазон</t>
  </si>
  <si>
    <t>раствор для внутривенного и внутримышечного введения, 5 мг/мл, 2 мл - ампулы (5)  - упаковки ячейковые контурные (2)-пачки картонные</t>
  </si>
  <si>
    <t xml:space="preserve">Вл.Вып.к.Перв.Уп.Втор.Уп.Пр.ФГУП "Московский эндокринный завод", Россия; </t>
  </si>
  <si>
    <t>Релиум</t>
  </si>
  <si>
    <t>раствор для внутривенного и внутримышечного введения, 5 мг/мл, 2 мл - ампулы (5)  - коробки картонные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</si>
  <si>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</si>
  <si>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>раствор для внутривенного и внутримышечного введения, 5 мг/мл, 2 мл - ампулы (10)  - коробки картонные</t>
  </si>
  <si>
    <t>раствор для внутривенного и внутримышечного введения, 5 мг/мл, 2 мл - ампулы (50)  - коробки картонные</t>
  </si>
  <si>
    <t xml:space="preserve">Вл.Вып.к.Перв.Уп.Втор.Уп.Пр.Дальхимфарм ОАО, Россия (2702010564); </t>
  </si>
  <si>
    <t>раствор для внутривенного и внутримышечного введения, 5 мг/мл, 2 мл - ампулы (10)  - пачки картонные</t>
  </si>
  <si>
    <t>раствор для внутривенного и внутримышечного введения, 5 мг/мл, 2 мл - ампулы (5)  - пачки картонные</t>
  </si>
  <si>
    <t xml:space="preserve">Вл.Вып.к.Перв.Уп.Втор.Уп.Пр.Акционерное общество "Органика" (АО "Органика"), Россия (4221000630); </t>
  </si>
  <si>
    <t>раствор для внутривенного и внутримышечного введения, 5 мг/мл, 2 мл - ампулы (5)  / в комплекте с ножом ампульным или скарификатором, если необходим для ампул данного типа / - упаковки ячейковые контурные (1) - пачки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</si>
  <si>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</si>
  <si>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</si>
  <si>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 xml:space="preserve">Вл.Вып.к.Перв.Уп.Втор.Уп.Пр.Акционерное общество "ДАЛЬХИМФАРМ" (АО "ДАЛЬХИМФАРМ"), Россия (2702010564); </t>
  </si>
  <si>
    <t>Р N002572/01-2003</t>
  </si>
  <si>
    <t>17.12.2020 
 (595/20-20-ОПР)</t>
  </si>
  <si>
    <t>П N015047/01</t>
  </si>
  <si>
    <t>18.12.2020 
 (651/20-20-ОПР)</t>
  </si>
  <si>
    <t>Р N003867/01</t>
  </si>
  <si>
    <t>28.06.2023 
906/20-23</t>
  </si>
  <si>
    <t>ЛП-006703</t>
  </si>
  <si>
    <t>05.08.2024 
1132/20-24</t>
  </si>
  <si>
    <t>ЛП-№(006966)-(РГ-RU)</t>
  </si>
  <si>
    <t>09.01.2025 
25-7-4311407-изм</t>
  </si>
  <si>
    <t>Р N002572/01</t>
  </si>
  <si>
    <t>24.03.2025 
339/20-25</t>
  </si>
  <si>
    <t>26.05.2025 
722/20-25</t>
  </si>
  <si>
    <t>ЛП-№(010252)-(РГ-RU)</t>
  </si>
  <si>
    <t>30.06.2025 
25-7-4329512-изм</t>
  </si>
  <si>
    <t>13.03.2026 
343/25-26</t>
  </si>
  <si>
    <t>17.06.2026 
25-7-4366079-изм</t>
  </si>
  <si>
    <t>ЛП-№(015876)-(РГ-RU)</t>
  </si>
  <si>
    <t>25.08.2026 
25-7-4371895-изм</t>
  </si>
  <si>
    <t>раствор для инъекций 50 мкг/мл, 1 мл - ампулы (5) - упаковки ячейковые контурные (100) /в комплекте с ножом ампульным или скарификатором, если необходим для ампул данного типа/ - коробки картонные</t>
  </si>
  <si>
    <t>ФГУП "Государственный завод медицинских препаратов" - Россия</t>
  </si>
  <si>
    <t>раствор для инъекций 50 мкг/мл, 1 мл - ампулы (5) - упаковки ячейковые контурные (20)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</si>
  <si>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1 мл - ампулы (5) - упаковки ячейковые контурные (30)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</si>
  <si>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1 мл - ампулы (5) - упаковки ячейковые контурные (40)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</si>
  <si>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1 мл - ампулы (5) - упаковки ячейковые контурные (50)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</si>
  <si>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2 мл - ампулы (5) - упаковки ячейковые контурные (20)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</si>
  <si>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2 мл - ампулы (5) - упаковки ячейковые контурные (30)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</si>
  <si>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2 мл - ампулы (5) - упаковки ячейковые контурные (40)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</si>
  <si>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2 мл - ампулы (5) - упаковки ячейковые контурные (50) /в комплекте с ножом ампульным или скарификатором, если необходим для ампул данного типа/ - коробки картонные</t>
  </si>
  <si>
    <t>раствор для внутривенного и внутримышечного введения, 50 мкг/мл, 2 мл - ампулы (5) - упаковки ячейковые контурные (100) - коробки картонные</t>
  </si>
  <si>
    <t>раствор для внутривенного и внутримышечного введения, 50 мкг/мл, 1 мл - ампулы (5)  - коробки картонные (для стационаров)</t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</si>
  <si>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</si>
  <si>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>раствор для внутривенного и внутримышечного введения, 50 мкг/мл, 2 мл - ампулы (5)  - коробки картонные (для стационаров)</t>
  </si>
  <si>
    <t>раствор для внутривенного и внутримышечного введения, 50 мкг/мл, 1 мл - ампулы (5)  - упаковки ячейковые контурные (1) -  пачки картонные</t>
  </si>
  <si>
    <t>раствор для внутривенного и внутримышечного введения, 50 мкг/мл, 1 мл - ампулы (5)  - упаковки ячейковые контурные (1) - пачки картонные</t>
  </si>
  <si>
    <t>раствор для внутривенного и внутримышечного введения, 50 мкг/мл, 2 мл - ампулы (5)  - упаковки ячейковые контурные (2) - пачки картонные</t>
  </si>
  <si>
    <t>раствор для внутривенного и внутримышечного введения, 50 мкг/мл, 1 мл - ампулы (5)  - пачки картонные</t>
  </si>
  <si>
    <t>раствор для внутривенного и внутримышечного введения, 50 мкг/мл, 2 мл - ампулы (10)  - пачки картонные</t>
  </si>
  <si>
    <t>Р N002020/01</t>
  </si>
  <si>
    <t>24.12.2020 
 (741/20-20-ОПР)</t>
  </si>
  <si>
    <t>Р N000266/01</t>
  </si>
  <si>
    <t>14.04.2025 
479/20-25</t>
  </si>
  <si>
    <t>ЛП-№(006811)-(РГ-RU)</t>
  </si>
  <si>
    <t>17.02.2026 
174/25-26</t>
  </si>
  <si>
    <t>27.02.2026 
25-7-4355837-изм</t>
  </si>
  <si>
    <t>раствор для внутривенного и внутримышечного введения, 50 мг/мл, 2 мл - ампулы (5)  - упаковки ячейковые контурные (1) -  пачки картонные</t>
  </si>
  <si>
    <t>раствор для внутривенного и внутримышечного введения, 50 мг/мл, 2 мл - ампулы (5)  - пачки картонные</t>
  </si>
  <si>
    <t>Р N000298/01</t>
  </si>
  <si>
    <t>ЛП-№(010939)-(РГ-RU)</t>
  </si>
  <si>
    <t>24.03.2025 
331/20-25</t>
  </si>
  <si>
    <t>20.10.2025 
25-7-4341825-изм</t>
  </si>
  <si>
    <t>24.02.2026 
207/25-26</t>
  </si>
  <si>
    <t>Промедол</t>
  </si>
  <si>
    <t>раствор для инъекций, 20 мг/мл, 1 мл - ампулы (5)  - коробки (для стационаров)</t>
  </si>
  <si>
    <t>раствор для инъекций, 20 мг/мл, 1 мл - ампулы (5)  - упаковки ячейковые контурные (2) - пачки картонные</t>
  </si>
  <si>
    <t xml:space="preserve">Вл.Вып.к.Перв.Уп.Втор.Уп.Пр.ФГУП "Государственный завод медицинских препаратов", Россия; </t>
  </si>
  <si>
    <t>раствор для инъекций, 20 мг/мл, 1 мл - ампулы (100)  - коробки картонные</t>
  </si>
  <si>
    <t xml:space="preserve">Вл.Государственный завод медицинских препаратов ФГУП, Россия; Вып.к.Перв.Уп.Втор.Уп.Пр.ФГУП "Государственный завод медицинских препаратов", Россия; </t>
  </si>
  <si>
    <t>раствор для инъекций, 20 мг/мл, 1 мл - ампулы (150)  - коробки картонные</t>
  </si>
  <si>
    <t>раствор для инъекций, 20 мг/мл, 1 мл - ампулы (200)  - коробки картонные</t>
  </si>
  <si>
    <t>раствор для инъекций, 20 мг/мл, 1 мл - ампулы (250)  - коробки картонные</t>
  </si>
  <si>
    <t>раствор для инъекций, 20 мг/мл, 1 мл - ампулы (500)  - пачки картонные</t>
  </si>
  <si>
    <t>раствор для инъекций, 20 мг/мл, 1 мл - ампулы (5)  - пачка картонная</t>
  </si>
  <si>
    <t>раствор для инъекций, 20 мг/мл, 1 мл - ампулы (5)  - упаковки ячейковые контурные (1) - пачки картонные</t>
  </si>
  <si>
    <t>раствор для инъекций, 20 мг/мл, 1 мл (см3) - шприц-тюбики (100)  - коробки картонные</t>
  </si>
  <si>
    <t>раствор для инъекций, 20 мг/мл, 1 мл - ампулы (5)  - пачки картонные</t>
  </si>
  <si>
    <t>раствор для инъекций, 20 мг/мл, 1 мл - ампулы (10)  - пачки картонные</t>
  </si>
  <si>
    <t>раствор для инъекций, 20 мг/мл, 1 мл (см3) - шприц-тюбики (100)  /  / - коробки картонные</t>
  </si>
  <si>
    <t>Р N001833/01</t>
  </si>
  <si>
    <t>21.12.2020 
 (669/20-20-ОПР)</t>
  </si>
  <si>
    <t>Р N000368/01</t>
  </si>
  <si>
    <t>06.03.2025 
214/20-25</t>
  </si>
  <si>
    <t>ЛП-№(006596)-(РГ-RU)</t>
  </si>
  <si>
    <t>24.03.2025 
332/20-25</t>
  </si>
  <si>
    <t>30.05.2025 
802/20-25</t>
  </si>
  <si>
    <t>03.10.2025 
25-7-4338865-изм</t>
  </si>
  <si>
    <t>18.02.2026 
188/25-26</t>
  </si>
  <si>
    <t>24.02.2026 
206/25-26</t>
  </si>
  <si>
    <t>24.02.2026 
 206/25-26</t>
  </si>
  <si>
    <t>11.06.2026 
970/25-26</t>
  </si>
  <si>
    <t>раствор для инъекций, 10 мг/мл, 1 мл - ампулы (5)  - упаковки ячейковые контурные (2) - пачки картонные</t>
  </si>
  <si>
    <t>раствор для инъекций, 10 мг/мл, 1 мл - ампулы (10)  - пачки картонные</t>
  </si>
  <si>
    <t>ЛП-№(005738)-(РГ-RU)</t>
  </si>
  <si>
    <t>26.09.2024 
25-7-4298203-ОПР-изм</t>
  </si>
  <si>
    <t>18.09.2025 
25-7-4337917-ОПР-изм</t>
  </si>
  <si>
    <t>28.04.2026 
643/25-26</t>
  </si>
  <si>
    <t>дата расчета 15.09.2026</t>
  </si>
  <si>
    <t>На основании  Постановление Правительства РФ от 30.10.2021 N 1871 "Об утверждении Правил распределения, реализации и отпуска наркотических средств и психотропных веществ, а также реализации и отпуска их прекурсоров и признании утратившими силу некоторых актов и отдельных положений некоторых актов Правительства Российской Федерации", Постановления Правительства РФ от 30 июня 1998 г. N 681 "Об утверждении  перечня наркотических средств,  психотропных в еществ  и  их  прекурсоров,  подлежащих  контролю  в  Российской Федерации", Письма  Департамента развития фармацевтической и медицинской промышленности Минпромторга России  "О включении в план распределения на 2026 год"  ФГУП "Московский эндокринный завод",   являются единственными юридическими лицами,осуществляющими производство, изготовление и ввоз в РФ  наркотических средств или психотропных веществ  являющихся предметом закупки.</t>
  </si>
  <si>
    <t>Для расчета использовалось 1 ком.предложение так как реализация наркотических средств и психотропных веществ, используемых в медицинских целях, осуществляется юридическими лицами, указанными в пункте 11 Правил (Утверждены постановлением Правительства Российской Федерации от 30 октября 2021 г. N 1871), уполномоченной организацией в соответствии с утвержденным планом распределения на 2026 год выданным Комитетом здравоохранения Ленинградской области является  ГАУ ЛО «Ленфарм».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</si>
</sst>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₽&quot;"/>
    <numFmt numFmtId="165" formatCode="#,##0.000"/>
    <numFmt numFmtId="166" formatCode="[$-10419]###\ ###\ ##0.00"/>
    <numFmt numFmtId="167" formatCode="[$-10419]###\ ###"/>
    <numFmt numFmtId="168" formatCode="0.000"/>
    <numFmt numFmtId="169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indexed="8"/>
      <name val="Calibri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2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right" vertical="center"/>
    </xf>
    <xf numFmtId="0" fontId="5" fillId="0" borderId="0" xfId="0" applyFont="1"/>
    <xf numFmtId="4" fontId="5" fillId="0" borderId="0" xfId="0" applyNumberFormat="1" applyFont="1" applyBorder="1" applyAlignment="1">
      <alignment horizontal="right" vertical="center"/>
    </xf>
    <xf numFmtId="4" fontId="5" fillId="3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top"/>
    </xf>
    <xf numFmtId="165" fontId="4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/>
    <xf numFmtId="0" fontId="0" fillId="0" borderId="0" xfId="0" applyFont="1"/>
    <xf numFmtId="2" fontId="7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2" fontId="4" fillId="0" borderId="0" xfId="0" applyNumberFormat="1" applyFont="1" applyFill="1" applyAlignment="1">
      <alignment horizontal="center" vertical="center" wrapText="1"/>
    </xf>
    <xf numFmtId="2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3" fillId="6" borderId="4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left"/>
    </xf>
    <xf numFmtId="4" fontId="1" fillId="0" borderId="4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1" fillId="7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4" fillId="0" borderId="8" xfId="0" applyFont="1" applyBorder="1" applyAlignment="1" applyProtection="1">
      <alignment vertical="top" wrapText="1" readingOrder="1"/>
      <protection locked="0"/>
    </xf>
    <xf numFmtId="167" fontId="14" fillId="0" borderId="8" xfId="0" applyNumberFormat="1" applyFont="1" applyBorder="1" applyAlignment="1" applyProtection="1">
      <alignment horizontal="center" vertical="top" wrapText="1" readingOrder="1"/>
      <protection locked="0"/>
    </xf>
    <xf numFmtId="166" fontId="14" fillId="0" borderId="8" xfId="0" applyNumberFormat="1" applyFont="1" applyBorder="1" applyAlignment="1" applyProtection="1">
      <alignment vertical="top" wrapText="1" readingOrder="1"/>
      <protection locked="0"/>
    </xf>
    <xf numFmtId="2" fontId="14" fillId="0" borderId="8" xfId="0" applyNumberFormat="1" applyFont="1" applyBorder="1" applyAlignment="1" applyProtection="1">
      <alignment horizontal="center" vertical="top" wrapText="1" readingOrder="1"/>
      <protection locked="0"/>
    </xf>
    <xf numFmtId="167" fontId="15" fillId="0" borderId="8" xfId="0" applyNumberFormat="1" applyFont="1" applyBorder="1" applyAlignment="1" applyProtection="1">
      <alignment horizontal="center" vertical="top" wrapText="1" readingOrder="1"/>
      <protection locked="0"/>
    </xf>
    <xf numFmtId="166" fontId="15" fillId="0" borderId="8" xfId="0" applyNumberFormat="1" applyFont="1" applyBorder="1" applyAlignment="1" applyProtection="1">
      <alignment vertical="top" wrapText="1" readingOrder="1"/>
      <protection locked="0"/>
    </xf>
    <xf numFmtId="2" fontId="15" fillId="0" borderId="8" xfId="0" applyNumberFormat="1" applyFont="1" applyBorder="1" applyAlignment="1" applyProtection="1">
      <alignment horizontal="center" vertical="top" wrapText="1" readingOrder="1"/>
      <protection locked="0"/>
    </xf>
    <xf numFmtId="0" fontId="15" fillId="0" borderId="8" xfId="0" applyFont="1" applyBorder="1" applyAlignment="1" applyProtection="1">
      <alignment vertical="top" wrapText="1" readingOrder="1"/>
      <protection locked="0"/>
    </xf>
    <xf numFmtId="0" fontId="15" fillId="0" borderId="8" xfId="0" applyFont="1" applyBorder="1" applyAlignment="1" applyProtection="1">
      <alignment horizontal="center" vertical="top" wrapText="1" readingOrder="1"/>
      <protection locked="0"/>
    </xf>
    <xf numFmtId="0" fontId="14" fillId="0" borderId="9" xfId="0" applyFont="1" applyBorder="1" applyAlignment="1" applyProtection="1">
      <alignment vertical="top" wrapText="1" readingOrder="1"/>
      <protection locked="0"/>
    </xf>
    <xf numFmtId="0" fontId="16" fillId="0" borderId="8" xfId="0" applyFont="1" applyBorder="1" applyAlignment="1" applyProtection="1">
      <alignment vertical="top" wrapText="1" readingOrder="1"/>
      <protection locked="0"/>
    </xf>
    <xf numFmtId="167" fontId="16" fillId="0" borderId="8" xfId="0" applyNumberFormat="1" applyFont="1" applyBorder="1" applyAlignment="1" applyProtection="1">
      <alignment horizontal="center" vertical="top" wrapText="1" readingOrder="1"/>
      <protection locked="0"/>
    </xf>
    <xf numFmtId="166" fontId="16" fillId="0" borderId="8" xfId="0" applyNumberFormat="1" applyFont="1" applyBorder="1" applyAlignment="1" applyProtection="1">
      <alignment vertical="top" wrapText="1" readingOrder="1"/>
      <protection locked="0"/>
    </xf>
    <xf numFmtId="0" fontId="16" fillId="0" borderId="8" xfId="0" applyFont="1" applyBorder="1" applyAlignment="1" applyProtection="1">
      <alignment horizontal="center" vertical="top" wrapText="1" readingOrder="1"/>
      <protection locked="0"/>
    </xf>
    <xf numFmtId="2" fontId="16" fillId="0" borderId="8" xfId="0" applyNumberFormat="1" applyFont="1" applyBorder="1" applyAlignment="1" applyProtection="1">
      <alignment horizontal="center" vertical="top" wrapText="1" readingOrder="1"/>
      <protection locked="0"/>
    </xf>
    <xf numFmtId="0" fontId="16" fillId="0" borderId="10" xfId="0" applyFont="1" applyBorder="1" applyAlignment="1" applyProtection="1">
      <alignment horizontal="center" vertical="top" wrapText="1" readingOrder="1"/>
      <protection locked="0"/>
    </xf>
    <xf numFmtId="169" fontId="1" fillId="0" borderId="4" xfId="0" applyNumberFormat="1" applyFont="1" applyBorder="1" applyAlignment="1">
      <alignment horizontal="center" vertical="center" wrapText="1"/>
    </xf>
    <xf numFmtId="0" fontId="16" fillId="0" borderId="9" xfId="0" applyFont="1" applyBorder="1" applyAlignment="1" applyProtection="1">
      <alignment vertical="top" wrapText="1" readingOrder="1"/>
      <protection locked="0"/>
    </xf>
    <xf numFmtId="0" fontId="16" fillId="0" borderId="10" xfId="0" applyFont="1" applyBorder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top" wrapText="1" readingOrder="1"/>
      <protection locked="0"/>
    </xf>
    <xf numFmtId="168" fontId="4" fillId="0" borderId="0" xfId="0" applyNumberFormat="1" applyFont="1"/>
    <xf numFmtId="0" fontId="14" fillId="0" borderId="10" xfId="0" applyFont="1" applyBorder="1" applyAlignment="1" applyProtection="1">
      <alignment horizontal="center" vertical="top" wrapText="1" readingOrder="1"/>
      <protection locked="0"/>
    </xf>
    <xf numFmtId="0" fontId="15" fillId="0" borderId="10" xfId="0" applyFont="1" applyBorder="1" applyAlignment="1" applyProtection="1">
      <alignment horizontal="center" vertical="top" wrapText="1" readingOrder="1"/>
      <protection locked="0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 readingOrder="1"/>
    </xf>
    <xf numFmtId="2" fontId="5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top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FF"/>
      <color rgb="FF99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563880</xdr:colOff>
      <xdr:row>4</xdr:row>
      <xdr:rowOff>26670</xdr:rowOff>
    </xdr:from>
    <xdr:to>
      <xdr:col>4</xdr:col>
      <xdr:colOff>852665</xdr:colOff>
      <xdr:row>4</xdr:row>
      <xdr:rowOff>231738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2"/>
  <sheetViews>
    <sheetView topLeftCell="A7" zoomScale="85" zoomScaleNormal="85" workbookViewId="0">
      <selection activeCell="D14" sqref="D14"/>
    </sheetView>
  </sheetViews>
  <sheetFormatPr defaultColWidth="8.85546875" defaultRowHeight="15" x14ac:dyDescent="0.25"/>
  <cols>
    <col min="1" max="1" width="4.85546875" style="3" customWidth="1"/>
    <col min="2" max="2" width="28.5703125" style="3" customWidth="1"/>
    <col min="3" max="3" width="21.140625" style="3" customWidth="1"/>
    <col min="4" max="4" width="23.140625" style="3" customWidth="1"/>
    <col min="5" max="5" width="70.85546875" style="3" customWidth="1"/>
    <col min="6" max="6" width="24.28515625" style="3" customWidth="1"/>
    <col min="7" max="7" width="29.85546875" style="3" customWidth="1"/>
    <col min="8" max="8" width="32.28515625" style="3" customWidth="1"/>
    <col min="9" max="9" width="15.85546875" style="3" customWidth="1"/>
    <col min="10" max="13" width="8.85546875" style="3"/>
    <col min="14" max="14" width="8.7109375" style="3" customWidth="1"/>
    <col min="15" max="16384" width="8.85546875" style="3"/>
  </cols>
  <sheetData>
    <row r="2" spans="1:8" ht="44.45" customHeight="1" x14ac:dyDescent="0.25">
      <c r="A2" s="95" t="s">
        <v>18</v>
      </c>
      <c r="B2" s="95"/>
      <c r="C2" s="95"/>
      <c r="D2" s="95"/>
      <c r="E2" s="95"/>
      <c r="F2" s="95"/>
      <c r="G2" s="95"/>
      <c r="H2" s="95"/>
    </row>
    <row r="3" spans="1:8" ht="46.5" customHeight="1" x14ac:dyDescent="0.25">
      <c r="A3" s="96" t="s">
        <v>42</v>
      </c>
      <c r="B3" s="96"/>
      <c r="C3" s="96"/>
      <c r="D3" s="96"/>
      <c r="E3" s="96"/>
      <c r="F3" s="96"/>
      <c r="G3" s="96"/>
      <c r="H3" s="96"/>
    </row>
    <row r="5" spans="1:8" ht="32.25" customHeight="1" x14ac:dyDescent="0.25">
      <c r="A5" s="97" t="s">
        <v>26</v>
      </c>
      <c r="B5" s="97"/>
      <c r="C5" s="97"/>
      <c r="D5" s="97"/>
      <c r="E5" s="97"/>
      <c r="F5" s="97"/>
      <c r="G5" s="97"/>
      <c r="H5" s="97"/>
    </row>
    <row r="7" spans="1:8" ht="60" x14ac:dyDescent="0.25">
      <c r="A7" s="8" t="s">
        <v>0</v>
      </c>
      <c r="B7" s="25" t="s">
        <v>1</v>
      </c>
      <c r="C7" s="25" t="s">
        <v>11</v>
      </c>
      <c r="D7" s="25" t="s">
        <v>12</v>
      </c>
      <c r="E7" s="9" t="s">
        <v>13</v>
      </c>
      <c r="F7" s="25" t="s">
        <v>14</v>
      </c>
      <c r="G7" s="25" t="s">
        <v>15</v>
      </c>
      <c r="H7" s="25" t="s">
        <v>16</v>
      </c>
    </row>
    <row r="8" spans="1:8" ht="108.75" customHeight="1" x14ac:dyDescent="0.25">
      <c r="A8" s="31">
        <v>1</v>
      </c>
      <c r="B8" s="25" t="s">
        <v>73</v>
      </c>
      <c r="C8" s="25" t="s">
        <v>74</v>
      </c>
      <c r="D8" s="25" t="s">
        <v>77</v>
      </c>
      <c r="E8" s="9" t="s">
        <v>75</v>
      </c>
      <c r="F8" s="25" t="s">
        <v>76</v>
      </c>
      <c r="G8" s="25" t="s">
        <v>45</v>
      </c>
      <c r="H8" s="25" t="s">
        <v>45</v>
      </c>
    </row>
    <row r="9" spans="1:8" ht="108.75" customHeight="1" x14ac:dyDescent="0.25">
      <c r="A9" s="31">
        <v>2</v>
      </c>
      <c r="B9" s="25" t="s">
        <v>78</v>
      </c>
      <c r="C9" s="25" t="s">
        <v>79</v>
      </c>
      <c r="D9" s="25" t="s">
        <v>77</v>
      </c>
      <c r="E9" s="9" t="s">
        <v>80</v>
      </c>
      <c r="F9" s="25" t="s">
        <v>81</v>
      </c>
      <c r="G9" s="25" t="s">
        <v>45</v>
      </c>
      <c r="H9" s="25" t="s">
        <v>45</v>
      </c>
    </row>
    <row r="10" spans="1:8" ht="108.75" customHeight="1" x14ac:dyDescent="0.25">
      <c r="A10" s="31">
        <v>3</v>
      </c>
      <c r="B10" s="25" t="s">
        <v>82</v>
      </c>
      <c r="C10" s="25" t="s">
        <v>83</v>
      </c>
      <c r="D10" s="25" t="s">
        <v>77</v>
      </c>
      <c r="E10" s="9" t="s">
        <v>80</v>
      </c>
      <c r="F10" s="25" t="s">
        <v>84</v>
      </c>
      <c r="G10" s="25" t="s">
        <v>45</v>
      </c>
      <c r="H10" s="25" t="s">
        <v>45</v>
      </c>
    </row>
    <row r="11" spans="1:8" ht="108.75" customHeight="1" x14ac:dyDescent="0.25">
      <c r="A11" s="31">
        <v>4</v>
      </c>
      <c r="B11" s="25" t="s">
        <v>85</v>
      </c>
      <c r="C11" s="25" t="s">
        <v>86</v>
      </c>
      <c r="D11" s="25" t="s">
        <v>77</v>
      </c>
      <c r="E11" s="9" t="s">
        <v>87</v>
      </c>
      <c r="F11" s="25" t="s">
        <v>88</v>
      </c>
      <c r="G11" s="25" t="s">
        <v>45</v>
      </c>
      <c r="H11" s="25" t="s">
        <v>45</v>
      </c>
    </row>
    <row r="12" spans="1:8" ht="108.75" customHeight="1" x14ac:dyDescent="0.25">
      <c r="A12" s="31">
        <v>5</v>
      </c>
      <c r="B12" s="25" t="s">
        <v>89</v>
      </c>
      <c r="C12" s="25" t="s">
        <v>90</v>
      </c>
      <c r="D12" s="25" t="s">
        <v>77</v>
      </c>
      <c r="E12" s="9" t="s">
        <v>87</v>
      </c>
      <c r="F12" s="25" t="s">
        <v>91</v>
      </c>
      <c r="G12" s="25" t="s">
        <v>45</v>
      </c>
      <c r="H12" s="25" t="s">
        <v>45</v>
      </c>
    </row>
  </sheetData>
  <mergeCells count="3">
    <mergeCell ref="A2:H2"/>
    <mergeCell ref="A3:H3"/>
    <mergeCell ref="A5:H5"/>
  </mergeCells>
  <pageMargins left="0.25" right="0.25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2"/>
  <sheetViews>
    <sheetView zoomScale="70" zoomScaleNormal="70" workbookViewId="0">
      <selection activeCell="D112" sqref="D111:D112"/>
    </sheetView>
  </sheetViews>
  <sheetFormatPr defaultColWidth="8.85546875" defaultRowHeight="15" x14ac:dyDescent="0.25"/>
  <cols>
    <col min="1" max="1" width="5.140625" style="57" customWidth="1"/>
    <col min="2" max="2" width="17.7109375" style="57" customWidth="1"/>
    <col min="3" max="3" width="23.7109375" style="57" customWidth="1"/>
    <col min="4" max="4" width="55.28515625" style="57" customWidth="1"/>
    <col min="5" max="5" width="100.7109375" style="57" customWidth="1"/>
    <col min="6" max="6" width="12.42578125" style="57" customWidth="1"/>
    <col min="7" max="7" width="13.85546875" style="57" customWidth="1"/>
    <col min="8" max="8" width="16.140625" style="49" customWidth="1"/>
    <col min="9" max="9" width="15.85546875" style="57" customWidth="1"/>
    <col min="10" max="10" width="20.7109375" style="57" customWidth="1"/>
    <col min="11" max="11" width="25.85546875" style="49" customWidth="1"/>
    <col min="12" max="12" width="49.28515625" style="57" customWidth="1"/>
    <col min="13" max="16384" width="8.85546875" style="57"/>
  </cols>
  <sheetData>
    <row r="2" spans="1:12" ht="31.5" customHeight="1" x14ac:dyDescent="0.25">
      <c r="A2" s="104" t="s">
        <v>18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2" ht="21" customHeight="1" x14ac:dyDescent="0.25">
      <c r="A3" s="108" t="s">
        <v>65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</row>
    <row r="4" spans="1:12" ht="34.5" customHeight="1" x14ac:dyDescent="0.25">
      <c r="A4" s="108" t="s">
        <v>51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</row>
    <row r="5" spans="1:12" ht="18.600000000000001" customHeight="1" x14ac:dyDescent="0.25">
      <c r="A5" s="109" t="s">
        <v>3</v>
      </c>
      <c r="B5" s="109"/>
      <c r="C5" s="109"/>
      <c r="D5" s="109"/>
      <c r="E5" s="104"/>
      <c r="F5" s="104"/>
      <c r="G5" s="104"/>
      <c r="H5" s="104"/>
      <c r="I5" s="104"/>
      <c r="J5" s="104"/>
      <c r="K5" s="104"/>
      <c r="L5" s="104"/>
    </row>
    <row r="6" spans="1:12" ht="18.600000000000001" customHeight="1" x14ac:dyDescent="0.25">
      <c r="A6" s="58"/>
      <c r="B6" s="58"/>
      <c r="C6" s="58"/>
      <c r="D6" s="58"/>
      <c r="E6" s="56"/>
      <c r="F6" s="56"/>
      <c r="G6" s="56"/>
      <c r="H6" s="50"/>
      <c r="I6" s="56"/>
      <c r="J6" s="56"/>
      <c r="K6" s="56"/>
      <c r="L6" s="56"/>
    </row>
    <row r="7" spans="1:12" ht="86.25" customHeight="1" x14ac:dyDescent="0.25">
      <c r="A7" s="24" t="s">
        <v>0</v>
      </c>
      <c r="B7" s="29" t="s">
        <v>17</v>
      </c>
      <c r="C7" s="29" t="s">
        <v>20</v>
      </c>
      <c r="D7" s="29" t="s">
        <v>21</v>
      </c>
      <c r="E7" s="29" t="s">
        <v>22</v>
      </c>
      <c r="F7" s="29" t="s">
        <v>29</v>
      </c>
      <c r="G7" s="30" t="s">
        <v>23</v>
      </c>
      <c r="H7" s="30" t="s">
        <v>27</v>
      </c>
      <c r="I7" s="29" t="s">
        <v>24</v>
      </c>
      <c r="J7" s="29" t="s">
        <v>25</v>
      </c>
      <c r="K7" s="55" t="s">
        <v>28</v>
      </c>
      <c r="L7" s="69" t="s">
        <v>40</v>
      </c>
    </row>
    <row r="8" spans="1:12" s="64" customFormat="1" ht="45.75" hidden="1" customHeight="1" x14ac:dyDescent="0.25">
      <c r="A8" s="105">
        <v>1</v>
      </c>
      <c r="B8" s="105" t="s">
        <v>73</v>
      </c>
      <c r="C8" s="81" t="s">
        <v>97</v>
      </c>
      <c r="D8" s="72" t="s">
        <v>98</v>
      </c>
      <c r="E8" s="72" t="s">
        <v>99</v>
      </c>
      <c r="F8" s="73">
        <f>2*10</f>
        <v>20</v>
      </c>
      <c r="G8" s="74">
        <v>48</v>
      </c>
      <c r="H8" s="75">
        <f>G8/F8</f>
        <v>2.4</v>
      </c>
      <c r="I8" s="72" t="s">
        <v>113</v>
      </c>
      <c r="J8" s="93" t="s">
        <v>114</v>
      </c>
      <c r="K8" s="110">
        <v>5.43</v>
      </c>
      <c r="L8" s="65"/>
    </row>
    <row r="9" spans="1:12" s="64" customFormat="1" ht="45.75" hidden="1" customHeight="1" x14ac:dyDescent="0.25">
      <c r="A9" s="105"/>
      <c r="B9" s="105"/>
      <c r="C9" s="81" t="s">
        <v>100</v>
      </c>
      <c r="D9" s="72" t="s">
        <v>101</v>
      </c>
      <c r="E9" s="72" t="s">
        <v>102</v>
      </c>
      <c r="F9" s="73">
        <f>2*5</f>
        <v>10</v>
      </c>
      <c r="G9" s="74">
        <v>66.19</v>
      </c>
      <c r="H9" s="75">
        <f t="shared" ref="H9:H23" si="0">G9/F9</f>
        <v>6.6189999999999998</v>
      </c>
      <c r="I9" s="72" t="s">
        <v>115</v>
      </c>
      <c r="J9" s="93" t="s">
        <v>116</v>
      </c>
      <c r="K9" s="110"/>
      <c r="L9" s="68"/>
    </row>
    <row r="10" spans="1:12" s="64" customFormat="1" ht="45.75" hidden="1" customHeight="1" x14ac:dyDescent="0.25">
      <c r="A10" s="105"/>
      <c r="B10" s="105"/>
      <c r="C10" s="81" t="s">
        <v>100</v>
      </c>
      <c r="D10" s="72" t="s">
        <v>103</v>
      </c>
      <c r="E10" s="72" t="s">
        <v>102</v>
      </c>
      <c r="F10" s="73">
        <f>2*10</f>
        <v>20</v>
      </c>
      <c r="G10" s="74">
        <v>132.4</v>
      </c>
      <c r="H10" s="75">
        <f t="shared" si="0"/>
        <v>6.62</v>
      </c>
      <c r="I10" s="72" t="s">
        <v>115</v>
      </c>
      <c r="J10" s="93" t="s">
        <v>116</v>
      </c>
      <c r="K10" s="110"/>
      <c r="L10" s="68"/>
    </row>
    <row r="11" spans="1:12" ht="45.75" hidden="1" customHeight="1" x14ac:dyDescent="0.25">
      <c r="A11" s="105"/>
      <c r="B11" s="105"/>
      <c r="C11" s="81" t="s">
        <v>100</v>
      </c>
      <c r="D11" s="72" t="s">
        <v>104</v>
      </c>
      <c r="E11" s="72" t="s">
        <v>102</v>
      </c>
      <c r="F11" s="73">
        <f>2*50</f>
        <v>100</v>
      </c>
      <c r="G11" s="74">
        <v>619.4</v>
      </c>
      <c r="H11" s="75">
        <f t="shared" si="0"/>
        <v>6.194</v>
      </c>
      <c r="I11" s="72" t="s">
        <v>115</v>
      </c>
      <c r="J11" s="93" t="s">
        <v>116</v>
      </c>
      <c r="K11" s="110"/>
      <c r="L11" s="68"/>
    </row>
    <row r="12" spans="1:12" ht="45.75" hidden="1" customHeight="1" x14ac:dyDescent="0.25">
      <c r="A12" s="105"/>
      <c r="B12" s="105"/>
      <c r="C12" s="81" t="s">
        <v>97</v>
      </c>
      <c r="D12" s="72" t="s">
        <v>103</v>
      </c>
      <c r="E12" s="72" t="s">
        <v>105</v>
      </c>
      <c r="F12" s="73">
        <f>2*10</f>
        <v>20</v>
      </c>
      <c r="G12" s="74">
        <v>49.09</v>
      </c>
      <c r="H12" s="75">
        <f t="shared" si="0"/>
        <v>2.4545000000000003</v>
      </c>
      <c r="I12" s="72" t="s">
        <v>117</v>
      </c>
      <c r="J12" s="93" t="s">
        <v>118</v>
      </c>
      <c r="K12" s="110"/>
      <c r="L12" s="68"/>
    </row>
    <row r="13" spans="1:12" ht="45.75" hidden="1" customHeight="1" x14ac:dyDescent="0.25">
      <c r="A13" s="105"/>
      <c r="B13" s="105"/>
      <c r="C13" s="81" t="s">
        <v>97</v>
      </c>
      <c r="D13" s="72" t="s">
        <v>106</v>
      </c>
      <c r="E13" s="72" t="s">
        <v>105</v>
      </c>
      <c r="F13" s="73">
        <f>2*10</f>
        <v>20</v>
      </c>
      <c r="G13" s="74">
        <v>49.09</v>
      </c>
      <c r="H13" s="75">
        <f t="shared" si="0"/>
        <v>2.4545000000000003</v>
      </c>
      <c r="I13" s="72" t="s">
        <v>117</v>
      </c>
      <c r="J13" s="93" t="s">
        <v>118</v>
      </c>
      <c r="K13" s="110"/>
      <c r="L13" s="68"/>
    </row>
    <row r="14" spans="1:12" ht="45.75" hidden="1" customHeight="1" x14ac:dyDescent="0.25">
      <c r="A14" s="105"/>
      <c r="B14" s="105"/>
      <c r="C14" s="81" t="s">
        <v>97</v>
      </c>
      <c r="D14" s="72" t="s">
        <v>107</v>
      </c>
      <c r="E14" s="72" t="s">
        <v>108</v>
      </c>
      <c r="F14" s="73">
        <f>2*5</f>
        <v>10</v>
      </c>
      <c r="G14" s="74">
        <v>61.77</v>
      </c>
      <c r="H14" s="75">
        <f t="shared" si="0"/>
        <v>6.1770000000000005</v>
      </c>
      <c r="I14" s="72" t="s">
        <v>119</v>
      </c>
      <c r="J14" s="93" t="s">
        <v>120</v>
      </c>
      <c r="K14" s="110"/>
      <c r="L14" s="68"/>
    </row>
    <row r="15" spans="1:12" ht="45.75" hidden="1" customHeight="1" x14ac:dyDescent="0.25">
      <c r="A15" s="105"/>
      <c r="B15" s="105"/>
      <c r="C15" s="81" t="s">
        <v>97</v>
      </c>
      <c r="D15" s="72" t="s">
        <v>106</v>
      </c>
      <c r="E15" s="72" t="s">
        <v>108</v>
      </c>
      <c r="F15" s="73">
        <f>2*10</f>
        <v>20</v>
      </c>
      <c r="G15" s="74">
        <v>109.54</v>
      </c>
      <c r="H15" s="75">
        <f t="shared" si="0"/>
        <v>5.4770000000000003</v>
      </c>
      <c r="I15" s="72" t="s">
        <v>121</v>
      </c>
      <c r="J15" s="93" t="s">
        <v>122</v>
      </c>
      <c r="K15" s="110"/>
      <c r="L15" s="68"/>
    </row>
    <row r="16" spans="1:12" ht="45.75" customHeight="1" x14ac:dyDescent="0.25">
      <c r="A16" s="105"/>
      <c r="B16" s="105"/>
      <c r="C16" s="81" t="s">
        <v>97</v>
      </c>
      <c r="D16" s="72" t="s">
        <v>109</v>
      </c>
      <c r="E16" s="72" t="s">
        <v>110</v>
      </c>
      <c r="F16" s="76">
        <f t="shared" ref="F16:F21" si="1">2*5</f>
        <v>10</v>
      </c>
      <c r="G16" s="77">
        <v>54.3</v>
      </c>
      <c r="H16" s="78">
        <f t="shared" si="0"/>
        <v>5.43</v>
      </c>
      <c r="I16" s="79" t="s">
        <v>123</v>
      </c>
      <c r="J16" s="94" t="s">
        <v>124</v>
      </c>
      <c r="K16" s="110"/>
      <c r="L16" s="68"/>
    </row>
    <row r="17" spans="1:12" ht="45.75" hidden="1" customHeight="1" x14ac:dyDescent="0.25">
      <c r="A17" s="105"/>
      <c r="B17" s="105"/>
      <c r="C17" s="81" t="s">
        <v>97</v>
      </c>
      <c r="D17" s="72" t="s">
        <v>107</v>
      </c>
      <c r="E17" s="72" t="s">
        <v>108</v>
      </c>
      <c r="F17" s="73">
        <f t="shared" si="1"/>
        <v>10</v>
      </c>
      <c r="G17" s="74">
        <v>63.22</v>
      </c>
      <c r="H17" s="75">
        <f t="shared" si="0"/>
        <v>6.3220000000000001</v>
      </c>
      <c r="I17" s="72" t="s">
        <v>121</v>
      </c>
      <c r="J17" s="93" t="s">
        <v>125</v>
      </c>
      <c r="K17" s="110"/>
      <c r="L17" s="68"/>
    </row>
    <row r="18" spans="1:12" ht="45.75" hidden="1" customHeight="1" x14ac:dyDescent="0.25">
      <c r="A18" s="105"/>
      <c r="B18" s="105"/>
      <c r="C18" s="81" t="s">
        <v>97</v>
      </c>
      <c r="D18" s="72" t="s">
        <v>107</v>
      </c>
      <c r="E18" s="72" t="s">
        <v>110</v>
      </c>
      <c r="F18" s="73">
        <f t="shared" si="1"/>
        <v>10</v>
      </c>
      <c r="G18" s="74">
        <v>54.3</v>
      </c>
      <c r="H18" s="75">
        <f t="shared" si="0"/>
        <v>5.43</v>
      </c>
      <c r="I18" s="72" t="s">
        <v>126</v>
      </c>
      <c r="J18" s="93" t="s">
        <v>127</v>
      </c>
      <c r="K18" s="110"/>
      <c r="L18" s="68"/>
    </row>
    <row r="19" spans="1:12" ht="45.75" hidden="1" customHeight="1" x14ac:dyDescent="0.25">
      <c r="A19" s="105"/>
      <c r="B19" s="105"/>
      <c r="C19" s="81" t="s">
        <v>97</v>
      </c>
      <c r="D19" s="72" t="s">
        <v>109</v>
      </c>
      <c r="E19" s="72" t="s">
        <v>110</v>
      </c>
      <c r="F19" s="73">
        <f t="shared" si="1"/>
        <v>10</v>
      </c>
      <c r="G19" s="74">
        <v>56.3</v>
      </c>
      <c r="H19" s="75">
        <f t="shared" si="0"/>
        <v>5.63</v>
      </c>
      <c r="I19" s="72" t="s">
        <v>123</v>
      </c>
      <c r="J19" s="93" t="s">
        <v>128</v>
      </c>
      <c r="K19" s="110"/>
      <c r="L19" s="68"/>
    </row>
    <row r="20" spans="1:12" ht="45.75" hidden="1" customHeight="1" x14ac:dyDescent="0.25">
      <c r="A20" s="105"/>
      <c r="B20" s="105"/>
      <c r="C20" s="81" t="s">
        <v>97</v>
      </c>
      <c r="D20" s="72" t="s">
        <v>107</v>
      </c>
      <c r="E20" s="72" t="s">
        <v>110</v>
      </c>
      <c r="F20" s="73">
        <f t="shared" si="1"/>
        <v>10</v>
      </c>
      <c r="G20" s="74">
        <v>56.3</v>
      </c>
      <c r="H20" s="75">
        <f t="shared" si="0"/>
        <v>5.63</v>
      </c>
      <c r="I20" s="72" t="s">
        <v>126</v>
      </c>
      <c r="J20" s="93" t="s">
        <v>128</v>
      </c>
      <c r="K20" s="110"/>
      <c r="L20" s="68"/>
    </row>
    <row r="21" spans="1:12" ht="45.75" hidden="1" customHeight="1" x14ac:dyDescent="0.25">
      <c r="A21" s="105"/>
      <c r="B21" s="105"/>
      <c r="C21" s="81" t="s">
        <v>97</v>
      </c>
      <c r="D21" s="72" t="s">
        <v>107</v>
      </c>
      <c r="E21" s="72" t="s">
        <v>111</v>
      </c>
      <c r="F21" s="73">
        <f t="shared" si="1"/>
        <v>10</v>
      </c>
      <c r="G21" s="74">
        <v>56.3</v>
      </c>
      <c r="H21" s="75">
        <f t="shared" si="0"/>
        <v>5.63</v>
      </c>
      <c r="I21" s="72" t="s">
        <v>126</v>
      </c>
      <c r="J21" s="93" t="s">
        <v>129</v>
      </c>
      <c r="K21" s="110"/>
      <c r="L21" s="68"/>
    </row>
    <row r="22" spans="1:12" ht="45.75" hidden="1" customHeight="1" x14ac:dyDescent="0.25">
      <c r="A22" s="105"/>
      <c r="B22" s="105"/>
      <c r="C22" s="81" t="s">
        <v>97</v>
      </c>
      <c r="D22" s="72" t="s">
        <v>103</v>
      </c>
      <c r="E22" s="72" t="s">
        <v>112</v>
      </c>
      <c r="F22" s="73">
        <f>2*10</f>
        <v>20</v>
      </c>
      <c r="G22" s="74">
        <v>49.09</v>
      </c>
      <c r="H22" s="75">
        <f t="shared" si="0"/>
        <v>2.4545000000000003</v>
      </c>
      <c r="I22" s="72" t="s">
        <v>130</v>
      </c>
      <c r="J22" s="93" t="s">
        <v>131</v>
      </c>
      <c r="K22" s="110"/>
      <c r="L22" s="68"/>
    </row>
    <row r="23" spans="1:12" ht="45.75" hidden="1" customHeight="1" x14ac:dyDescent="0.25">
      <c r="A23" s="105"/>
      <c r="B23" s="105"/>
      <c r="C23" s="81" t="s">
        <v>97</v>
      </c>
      <c r="D23" s="72" t="s">
        <v>106</v>
      </c>
      <c r="E23" s="72" t="s">
        <v>112</v>
      </c>
      <c r="F23" s="73">
        <f>2*10</f>
        <v>20</v>
      </c>
      <c r="G23" s="74">
        <v>49.09</v>
      </c>
      <c r="H23" s="75">
        <f t="shared" si="0"/>
        <v>2.4545000000000003</v>
      </c>
      <c r="I23" s="72" t="s">
        <v>130</v>
      </c>
      <c r="J23" s="93" t="s">
        <v>131</v>
      </c>
      <c r="K23" s="110"/>
      <c r="L23" s="68"/>
    </row>
    <row r="24" spans="1:12" s="71" customFormat="1" ht="45.75" hidden="1" customHeight="1" x14ac:dyDescent="0.25">
      <c r="A24" s="101">
        <v>2</v>
      </c>
      <c r="B24" s="98" t="s">
        <v>78</v>
      </c>
      <c r="C24" s="82" t="s">
        <v>78</v>
      </c>
      <c r="D24" s="82" t="s">
        <v>132</v>
      </c>
      <c r="E24" s="82" t="s">
        <v>133</v>
      </c>
      <c r="F24" s="83">
        <v>500</v>
      </c>
      <c r="G24" s="84">
        <v>4976.6400000000003</v>
      </c>
      <c r="H24" s="86">
        <f>G24/F24</f>
        <v>9.9532800000000012</v>
      </c>
      <c r="I24" s="82" t="s">
        <v>151</v>
      </c>
      <c r="J24" s="87" t="s">
        <v>152</v>
      </c>
      <c r="K24" s="110">
        <v>9.6199999999999992</v>
      </c>
      <c r="L24" s="68"/>
    </row>
    <row r="25" spans="1:12" s="71" customFormat="1" ht="45.75" hidden="1" customHeight="1" x14ac:dyDescent="0.25">
      <c r="A25" s="102"/>
      <c r="B25" s="99"/>
      <c r="C25" s="82" t="s">
        <v>78</v>
      </c>
      <c r="D25" s="82" t="s">
        <v>134</v>
      </c>
      <c r="E25" s="82" t="s">
        <v>133</v>
      </c>
      <c r="F25" s="83">
        <v>100</v>
      </c>
      <c r="G25" s="84">
        <v>995.33</v>
      </c>
      <c r="H25" s="86">
        <f t="shared" ref="H25:H43" si="2">G25/F25</f>
        <v>9.9533000000000005</v>
      </c>
      <c r="I25" s="82" t="s">
        <v>151</v>
      </c>
      <c r="J25" s="87" t="s">
        <v>152</v>
      </c>
      <c r="K25" s="110"/>
      <c r="L25" s="68"/>
    </row>
    <row r="26" spans="1:12" s="71" customFormat="1" ht="45.75" hidden="1" customHeight="1" x14ac:dyDescent="0.25">
      <c r="A26" s="102"/>
      <c r="B26" s="99"/>
      <c r="C26" s="82" t="s">
        <v>78</v>
      </c>
      <c r="D26" s="82" t="s">
        <v>135</v>
      </c>
      <c r="E26" s="82" t="s">
        <v>133</v>
      </c>
      <c r="F26" s="83">
        <v>150</v>
      </c>
      <c r="G26" s="84">
        <v>1492.99</v>
      </c>
      <c r="H26" s="86">
        <f t="shared" si="2"/>
        <v>9.953266666666666</v>
      </c>
      <c r="I26" s="82" t="s">
        <v>151</v>
      </c>
      <c r="J26" s="87" t="s">
        <v>152</v>
      </c>
      <c r="K26" s="110"/>
      <c r="L26" s="68"/>
    </row>
    <row r="27" spans="1:12" s="71" customFormat="1" ht="45.75" hidden="1" customHeight="1" x14ac:dyDescent="0.25">
      <c r="A27" s="102"/>
      <c r="B27" s="99"/>
      <c r="C27" s="82" t="s">
        <v>78</v>
      </c>
      <c r="D27" s="82" t="s">
        <v>136</v>
      </c>
      <c r="E27" s="82" t="s">
        <v>133</v>
      </c>
      <c r="F27" s="83">
        <v>200</v>
      </c>
      <c r="G27" s="84">
        <v>1990.66</v>
      </c>
      <c r="H27" s="86">
        <f t="shared" si="2"/>
        <v>9.9533000000000005</v>
      </c>
      <c r="I27" s="82" t="s">
        <v>151</v>
      </c>
      <c r="J27" s="87" t="s">
        <v>152</v>
      </c>
      <c r="K27" s="110"/>
      <c r="L27" s="68"/>
    </row>
    <row r="28" spans="1:12" s="71" customFormat="1" ht="45.75" hidden="1" customHeight="1" x14ac:dyDescent="0.25">
      <c r="A28" s="102"/>
      <c r="B28" s="99"/>
      <c r="C28" s="82" t="s">
        <v>78</v>
      </c>
      <c r="D28" s="82" t="s">
        <v>137</v>
      </c>
      <c r="E28" s="82" t="s">
        <v>133</v>
      </c>
      <c r="F28" s="83">
        <v>250</v>
      </c>
      <c r="G28" s="84">
        <v>2488.3200000000002</v>
      </c>
      <c r="H28" s="86">
        <f t="shared" si="2"/>
        <v>9.9532800000000012</v>
      </c>
      <c r="I28" s="82" t="s">
        <v>151</v>
      </c>
      <c r="J28" s="87" t="s">
        <v>152</v>
      </c>
      <c r="K28" s="110"/>
      <c r="L28" s="68"/>
    </row>
    <row r="29" spans="1:12" s="71" customFormat="1" ht="45.75" hidden="1" customHeight="1" x14ac:dyDescent="0.25">
      <c r="A29" s="102"/>
      <c r="B29" s="99"/>
      <c r="C29" s="82" t="s">
        <v>78</v>
      </c>
      <c r="D29" s="82" t="s">
        <v>138</v>
      </c>
      <c r="E29" s="82" t="s">
        <v>133</v>
      </c>
      <c r="F29" s="83">
        <f>2*100</f>
        <v>200</v>
      </c>
      <c r="G29" s="84">
        <v>1181.95</v>
      </c>
      <c r="H29" s="86">
        <f t="shared" si="2"/>
        <v>5.9097499999999998</v>
      </c>
      <c r="I29" s="82" t="s">
        <v>151</v>
      </c>
      <c r="J29" s="87" t="s">
        <v>152</v>
      </c>
      <c r="K29" s="110"/>
      <c r="L29" s="68"/>
    </row>
    <row r="30" spans="1:12" s="71" customFormat="1" ht="45.75" hidden="1" customHeight="1" x14ac:dyDescent="0.25">
      <c r="A30" s="102"/>
      <c r="B30" s="99"/>
      <c r="C30" s="82" t="s">
        <v>78</v>
      </c>
      <c r="D30" s="82" t="s">
        <v>139</v>
      </c>
      <c r="E30" s="82" t="s">
        <v>133</v>
      </c>
      <c r="F30" s="83">
        <f>2*150</f>
        <v>300</v>
      </c>
      <c r="G30" s="84">
        <v>1772.93</v>
      </c>
      <c r="H30" s="86">
        <f t="shared" si="2"/>
        <v>5.9097666666666671</v>
      </c>
      <c r="I30" s="82" t="s">
        <v>151</v>
      </c>
      <c r="J30" s="87" t="s">
        <v>152</v>
      </c>
      <c r="K30" s="110"/>
      <c r="L30" s="68"/>
    </row>
    <row r="31" spans="1:12" s="71" customFormat="1" ht="45.75" hidden="1" customHeight="1" x14ac:dyDescent="0.25">
      <c r="A31" s="102"/>
      <c r="B31" s="99"/>
      <c r="C31" s="82" t="s">
        <v>78</v>
      </c>
      <c r="D31" s="82" t="s">
        <v>140</v>
      </c>
      <c r="E31" s="82" t="s">
        <v>133</v>
      </c>
      <c r="F31" s="83">
        <f>2*200</f>
        <v>400</v>
      </c>
      <c r="G31" s="84">
        <v>2363.9</v>
      </c>
      <c r="H31" s="86">
        <f t="shared" si="2"/>
        <v>5.9097499999999998</v>
      </c>
      <c r="I31" s="82" t="s">
        <v>151</v>
      </c>
      <c r="J31" s="87" t="s">
        <v>152</v>
      </c>
      <c r="K31" s="110"/>
      <c r="L31" s="68"/>
    </row>
    <row r="32" spans="1:12" s="71" customFormat="1" ht="45.75" hidden="1" customHeight="1" x14ac:dyDescent="0.25">
      <c r="A32" s="102"/>
      <c r="B32" s="99"/>
      <c r="C32" s="82" t="s">
        <v>78</v>
      </c>
      <c r="D32" s="82" t="s">
        <v>141</v>
      </c>
      <c r="E32" s="82" t="s">
        <v>133</v>
      </c>
      <c r="F32" s="83">
        <f>2*250</f>
        <v>500</v>
      </c>
      <c r="G32" s="84">
        <v>2954.88</v>
      </c>
      <c r="H32" s="86">
        <f t="shared" si="2"/>
        <v>5.9097600000000003</v>
      </c>
      <c r="I32" s="82" t="s">
        <v>151</v>
      </c>
      <c r="J32" s="87" t="s">
        <v>152</v>
      </c>
      <c r="K32" s="110"/>
      <c r="L32" s="68"/>
    </row>
    <row r="33" spans="1:12" s="71" customFormat="1" ht="45.75" hidden="1" customHeight="1" x14ac:dyDescent="0.25">
      <c r="A33" s="102"/>
      <c r="B33" s="99"/>
      <c r="C33" s="82" t="s">
        <v>78</v>
      </c>
      <c r="D33" s="82" t="s">
        <v>142</v>
      </c>
      <c r="E33" s="82" t="s">
        <v>133</v>
      </c>
      <c r="F33" s="83">
        <f>2*500</f>
        <v>1000</v>
      </c>
      <c r="G33" s="84">
        <v>7345.1</v>
      </c>
      <c r="H33" s="86">
        <f t="shared" si="2"/>
        <v>7.3451000000000004</v>
      </c>
      <c r="I33" s="82" t="s">
        <v>151</v>
      </c>
      <c r="J33" s="87" t="s">
        <v>152</v>
      </c>
      <c r="K33" s="110"/>
      <c r="L33" s="68"/>
    </row>
    <row r="34" spans="1:12" s="71" customFormat="1" ht="45.75" hidden="1" customHeight="1" x14ac:dyDescent="0.25">
      <c r="A34" s="102"/>
      <c r="B34" s="99"/>
      <c r="C34" s="82" t="s">
        <v>78</v>
      </c>
      <c r="D34" s="82" t="s">
        <v>143</v>
      </c>
      <c r="E34" s="82" t="s">
        <v>144</v>
      </c>
      <c r="F34" s="83">
        <v>5</v>
      </c>
      <c r="G34" s="84">
        <v>64.3</v>
      </c>
      <c r="H34" s="86">
        <f t="shared" si="2"/>
        <v>12.86</v>
      </c>
      <c r="I34" s="82" t="s">
        <v>151</v>
      </c>
      <c r="J34" s="87" t="s">
        <v>152</v>
      </c>
      <c r="K34" s="110"/>
      <c r="L34" s="68"/>
    </row>
    <row r="35" spans="1:12" s="71" customFormat="1" ht="45.75" hidden="1" customHeight="1" x14ac:dyDescent="0.25">
      <c r="A35" s="102"/>
      <c r="B35" s="99"/>
      <c r="C35" s="82" t="s">
        <v>78</v>
      </c>
      <c r="D35" s="82" t="s">
        <v>145</v>
      </c>
      <c r="E35" s="82" t="s">
        <v>144</v>
      </c>
      <c r="F35" s="83">
        <f>2*5</f>
        <v>10</v>
      </c>
      <c r="G35" s="84">
        <v>76.2</v>
      </c>
      <c r="H35" s="86">
        <f t="shared" si="2"/>
        <v>7.62</v>
      </c>
      <c r="I35" s="82" t="s">
        <v>151</v>
      </c>
      <c r="J35" s="87" t="s">
        <v>152</v>
      </c>
      <c r="K35" s="110"/>
      <c r="L35" s="68"/>
    </row>
    <row r="36" spans="1:12" s="71" customFormat="1" ht="45.75" hidden="1" customHeight="1" x14ac:dyDescent="0.25">
      <c r="A36" s="102"/>
      <c r="B36" s="99"/>
      <c r="C36" s="82" t="s">
        <v>78</v>
      </c>
      <c r="D36" s="82" t="s">
        <v>146</v>
      </c>
      <c r="E36" s="82" t="s">
        <v>110</v>
      </c>
      <c r="F36" s="83">
        <v>5</v>
      </c>
      <c r="G36" s="84">
        <v>78.599999999999994</v>
      </c>
      <c r="H36" s="86">
        <f t="shared" si="2"/>
        <v>15.719999999999999</v>
      </c>
      <c r="I36" s="82" t="s">
        <v>153</v>
      </c>
      <c r="J36" s="87" t="s">
        <v>154</v>
      </c>
      <c r="K36" s="110"/>
      <c r="L36" s="68"/>
    </row>
    <row r="37" spans="1:12" s="71" customFormat="1" ht="45.75" customHeight="1" x14ac:dyDescent="0.25">
      <c r="A37" s="102"/>
      <c r="B37" s="99"/>
      <c r="C37" s="82" t="s">
        <v>78</v>
      </c>
      <c r="D37" s="82" t="s">
        <v>147</v>
      </c>
      <c r="E37" s="82" t="s">
        <v>110</v>
      </c>
      <c r="F37" s="83">
        <v>5</v>
      </c>
      <c r="G37" s="84">
        <v>78.599999999999994</v>
      </c>
      <c r="H37" s="78">
        <f t="shared" si="2"/>
        <v>15.719999999999999</v>
      </c>
      <c r="I37" s="79" t="s">
        <v>155</v>
      </c>
      <c r="J37" s="87" t="s">
        <v>154</v>
      </c>
      <c r="K37" s="110"/>
      <c r="L37" s="68"/>
    </row>
    <row r="38" spans="1:12" s="71" customFormat="1" ht="45.75" customHeight="1" x14ac:dyDescent="0.25">
      <c r="A38" s="102"/>
      <c r="B38" s="99"/>
      <c r="C38" s="82" t="s">
        <v>78</v>
      </c>
      <c r="D38" s="82" t="s">
        <v>148</v>
      </c>
      <c r="E38" s="82" t="s">
        <v>110</v>
      </c>
      <c r="F38" s="83">
        <f>2*10</f>
        <v>20</v>
      </c>
      <c r="G38" s="84">
        <v>192.3</v>
      </c>
      <c r="H38" s="78">
        <f t="shared" si="2"/>
        <v>9.6150000000000002</v>
      </c>
      <c r="I38" s="79" t="s">
        <v>155</v>
      </c>
      <c r="J38" s="87" t="s">
        <v>156</v>
      </c>
      <c r="K38" s="110"/>
      <c r="L38" s="68"/>
    </row>
    <row r="39" spans="1:12" s="71" customFormat="1" ht="45.75" customHeight="1" x14ac:dyDescent="0.25">
      <c r="A39" s="102"/>
      <c r="B39" s="99"/>
      <c r="C39" s="82" t="s">
        <v>78</v>
      </c>
      <c r="D39" s="82" t="s">
        <v>147</v>
      </c>
      <c r="E39" s="82" t="s">
        <v>110</v>
      </c>
      <c r="F39" s="83">
        <v>5</v>
      </c>
      <c r="G39" s="84">
        <v>80.599999999999994</v>
      </c>
      <c r="H39" s="78">
        <f t="shared" si="2"/>
        <v>16.119999999999997</v>
      </c>
      <c r="I39" s="79" t="s">
        <v>155</v>
      </c>
      <c r="J39" s="87" t="s">
        <v>156</v>
      </c>
      <c r="K39" s="110"/>
      <c r="L39" s="68"/>
    </row>
    <row r="40" spans="1:12" ht="45.75" customHeight="1" x14ac:dyDescent="0.25">
      <c r="A40" s="102"/>
      <c r="B40" s="99"/>
      <c r="C40" s="82" t="s">
        <v>78</v>
      </c>
      <c r="D40" s="82" t="s">
        <v>149</v>
      </c>
      <c r="E40" s="82" t="s">
        <v>111</v>
      </c>
      <c r="F40" s="83">
        <v>5</v>
      </c>
      <c r="G40" s="84">
        <v>80.599999999999994</v>
      </c>
      <c r="H40" s="78">
        <f t="shared" si="2"/>
        <v>16.119999999999997</v>
      </c>
      <c r="I40" s="79" t="s">
        <v>155</v>
      </c>
      <c r="J40" s="87" t="s">
        <v>157</v>
      </c>
      <c r="K40" s="110"/>
      <c r="L40" s="65"/>
    </row>
    <row r="41" spans="1:12" ht="45.75" customHeight="1" x14ac:dyDescent="0.25">
      <c r="A41" s="102"/>
      <c r="B41" s="99"/>
      <c r="C41" s="82" t="s">
        <v>78</v>
      </c>
      <c r="D41" s="82" t="s">
        <v>150</v>
      </c>
      <c r="E41" s="82" t="s">
        <v>111</v>
      </c>
      <c r="F41" s="83">
        <f>2*10</f>
        <v>20</v>
      </c>
      <c r="G41" s="84">
        <v>192.3</v>
      </c>
      <c r="H41" s="78">
        <f t="shared" si="2"/>
        <v>9.6150000000000002</v>
      </c>
      <c r="I41" s="79" t="s">
        <v>155</v>
      </c>
      <c r="J41" s="87" t="s">
        <v>157</v>
      </c>
      <c r="K41" s="110"/>
      <c r="L41" s="65"/>
    </row>
    <row r="42" spans="1:12" ht="45.75" hidden="1" customHeight="1" x14ac:dyDescent="0.25">
      <c r="A42" s="102"/>
      <c r="B42" s="99"/>
      <c r="C42" s="82" t="s">
        <v>78</v>
      </c>
      <c r="D42" s="82" t="s">
        <v>148</v>
      </c>
      <c r="E42" s="82" t="s">
        <v>110</v>
      </c>
      <c r="F42" s="83">
        <f>2*10</f>
        <v>20</v>
      </c>
      <c r="G42" s="84">
        <v>192.3</v>
      </c>
      <c r="H42" s="86">
        <f t="shared" si="2"/>
        <v>9.6150000000000002</v>
      </c>
      <c r="I42" s="82" t="s">
        <v>153</v>
      </c>
      <c r="J42" s="87" t="s">
        <v>156</v>
      </c>
      <c r="K42" s="110"/>
      <c r="L42" s="65"/>
    </row>
    <row r="43" spans="1:12" ht="45.75" hidden="1" customHeight="1" x14ac:dyDescent="0.25">
      <c r="A43" s="103"/>
      <c r="B43" s="100"/>
      <c r="C43" s="82" t="s">
        <v>78</v>
      </c>
      <c r="D43" s="82" t="s">
        <v>146</v>
      </c>
      <c r="E43" s="82" t="s">
        <v>110</v>
      </c>
      <c r="F43" s="83">
        <v>5</v>
      </c>
      <c r="G43" s="84">
        <v>80.599999999999994</v>
      </c>
      <c r="H43" s="86">
        <f t="shared" si="2"/>
        <v>16.119999999999997</v>
      </c>
      <c r="I43" s="82" t="s">
        <v>153</v>
      </c>
      <c r="J43" s="87" t="s">
        <v>156</v>
      </c>
      <c r="K43" s="110"/>
      <c r="L43" s="68"/>
    </row>
    <row r="44" spans="1:12" ht="45" x14ac:dyDescent="0.25">
      <c r="A44" s="105">
        <v>3</v>
      </c>
      <c r="B44" s="105" t="s">
        <v>82</v>
      </c>
      <c r="C44" s="89" t="s">
        <v>82</v>
      </c>
      <c r="D44" s="82" t="s">
        <v>158</v>
      </c>
      <c r="E44" s="82" t="s">
        <v>110</v>
      </c>
      <c r="F44" s="83">
        <f>2*5</f>
        <v>10</v>
      </c>
      <c r="G44" s="84">
        <v>169.4</v>
      </c>
      <c r="H44" s="85">
        <f>G44/F44</f>
        <v>16.940000000000001</v>
      </c>
      <c r="I44" s="82" t="s">
        <v>160</v>
      </c>
      <c r="J44" s="87" t="s">
        <v>162</v>
      </c>
      <c r="K44" s="111">
        <v>17.399999999999999</v>
      </c>
      <c r="L44" s="68"/>
    </row>
    <row r="45" spans="1:12" s="71" customFormat="1" ht="42" customHeight="1" x14ac:dyDescent="0.25">
      <c r="A45" s="105"/>
      <c r="B45" s="105"/>
      <c r="C45" s="89" t="s">
        <v>82</v>
      </c>
      <c r="D45" s="82" t="s">
        <v>159</v>
      </c>
      <c r="E45" s="82" t="s">
        <v>111</v>
      </c>
      <c r="F45" s="83">
        <f>2*5</f>
        <v>10</v>
      </c>
      <c r="G45" s="84">
        <v>169.4</v>
      </c>
      <c r="H45" s="85">
        <f t="shared" ref="H45:H47" si="3">G45/F45</f>
        <v>16.940000000000001</v>
      </c>
      <c r="I45" s="82" t="s">
        <v>161</v>
      </c>
      <c r="J45" s="87" t="s">
        <v>163</v>
      </c>
      <c r="K45" s="111"/>
      <c r="L45" s="68"/>
    </row>
    <row r="46" spans="1:12" ht="45" x14ac:dyDescent="0.25">
      <c r="A46" s="105"/>
      <c r="B46" s="105"/>
      <c r="C46" s="89" t="s">
        <v>82</v>
      </c>
      <c r="D46" s="82" t="s">
        <v>158</v>
      </c>
      <c r="E46" s="82" t="s">
        <v>110</v>
      </c>
      <c r="F46" s="83">
        <f>2*5</f>
        <v>10</v>
      </c>
      <c r="G46" s="84">
        <v>174</v>
      </c>
      <c r="H46" s="85">
        <f t="shared" si="3"/>
        <v>17.399999999999999</v>
      </c>
      <c r="I46" s="82" t="s">
        <v>160</v>
      </c>
      <c r="J46" s="87" t="s">
        <v>164</v>
      </c>
      <c r="K46" s="111"/>
      <c r="L46" s="68"/>
    </row>
    <row r="47" spans="1:12" ht="75" x14ac:dyDescent="0.25">
      <c r="A47" s="105"/>
      <c r="B47" s="105"/>
      <c r="C47" s="89" t="s">
        <v>82</v>
      </c>
      <c r="D47" s="82" t="s">
        <v>159</v>
      </c>
      <c r="E47" s="82" t="s">
        <v>111</v>
      </c>
      <c r="F47" s="83">
        <f>2*5</f>
        <v>10</v>
      </c>
      <c r="G47" s="77">
        <v>174</v>
      </c>
      <c r="H47" s="80">
        <f t="shared" si="3"/>
        <v>17.399999999999999</v>
      </c>
      <c r="I47" s="79" t="s">
        <v>161</v>
      </c>
      <c r="J47" s="87" t="s">
        <v>164</v>
      </c>
      <c r="K47" s="111"/>
      <c r="L47" s="68"/>
    </row>
    <row r="48" spans="1:12" ht="45" x14ac:dyDescent="0.25">
      <c r="A48" s="105">
        <v>4</v>
      </c>
      <c r="B48" s="105" t="s">
        <v>85</v>
      </c>
      <c r="C48" s="89" t="s">
        <v>165</v>
      </c>
      <c r="D48" s="82" t="s">
        <v>166</v>
      </c>
      <c r="E48" s="82" t="s">
        <v>144</v>
      </c>
      <c r="F48" s="83">
        <f>1*5</f>
        <v>5</v>
      </c>
      <c r="G48" s="84">
        <v>175.7</v>
      </c>
      <c r="H48" s="86">
        <f>G48/F48</f>
        <v>35.14</v>
      </c>
      <c r="I48" s="82" t="s">
        <v>181</v>
      </c>
      <c r="J48" s="87" t="s">
        <v>182</v>
      </c>
      <c r="K48" s="111">
        <v>44.22</v>
      </c>
      <c r="L48" s="68"/>
    </row>
    <row r="49" spans="1:12" ht="30" x14ac:dyDescent="0.25">
      <c r="A49" s="105"/>
      <c r="B49" s="105"/>
      <c r="C49" s="89" t="s">
        <v>165</v>
      </c>
      <c r="D49" s="82" t="s">
        <v>167</v>
      </c>
      <c r="E49" s="82" t="s">
        <v>168</v>
      </c>
      <c r="F49" s="83">
        <v>10</v>
      </c>
      <c r="G49" s="84">
        <v>344.7</v>
      </c>
      <c r="H49" s="86">
        <f t="shared" ref="H49:H71" si="4">G49/F49</f>
        <v>34.47</v>
      </c>
      <c r="I49" s="82" t="s">
        <v>181</v>
      </c>
      <c r="J49" s="87" t="s">
        <v>182</v>
      </c>
      <c r="K49" s="111"/>
      <c r="L49" s="68"/>
    </row>
    <row r="50" spans="1:12" ht="30" x14ac:dyDescent="0.25">
      <c r="A50" s="105"/>
      <c r="B50" s="105"/>
      <c r="C50" s="89" t="s">
        <v>165</v>
      </c>
      <c r="D50" s="82" t="s">
        <v>169</v>
      </c>
      <c r="E50" s="82" t="s">
        <v>170</v>
      </c>
      <c r="F50" s="83">
        <v>100</v>
      </c>
      <c r="G50" s="84">
        <v>2720.52</v>
      </c>
      <c r="H50" s="86">
        <f t="shared" si="4"/>
        <v>27.205200000000001</v>
      </c>
      <c r="I50" s="82" t="s">
        <v>181</v>
      </c>
      <c r="J50" s="87" t="s">
        <v>182</v>
      </c>
      <c r="K50" s="111"/>
      <c r="L50" s="68"/>
    </row>
    <row r="51" spans="1:12" ht="30" x14ac:dyDescent="0.25">
      <c r="A51" s="105"/>
      <c r="B51" s="105"/>
      <c r="C51" s="89" t="s">
        <v>165</v>
      </c>
      <c r="D51" s="82" t="s">
        <v>171</v>
      </c>
      <c r="E51" s="82" t="s">
        <v>170</v>
      </c>
      <c r="F51" s="83">
        <v>150</v>
      </c>
      <c r="G51" s="84">
        <v>4080.78</v>
      </c>
      <c r="H51" s="86">
        <f t="shared" si="4"/>
        <v>27.205200000000001</v>
      </c>
      <c r="I51" s="82" t="s">
        <v>181</v>
      </c>
      <c r="J51" s="87" t="s">
        <v>182</v>
      </c>
      <c r="K51" s="111"/>
      <c r="L51" s="68"/>
    </row>
    <row r="52" spans="1:12" ht="30" x14ac:dyDescent="0.25">
      <c r="A52" s="105"/>
      <c r="B52" s="105"/>
      <c r="C52" s="89" t="s">
        <v>165</v>
      </c>
      <c r="D52" s="82" t="s">
        <v>172</v>
      </c>
      <c r="E52" s="82" t="s">
        <v>170</v>
      </c>
      <c r="F52" s="83">
        <v>200</v>
      </c>
      <c r="G52" s="84">
        <v>5441.04</v>
      </c>
      <c r="H52" s="86">
        <f t="shared" si="4"/>
        <v>27.205200000000001</v>
      </c>
      <c r="I52" s="82" t="s">
        <v>181</v>
      </c>
      <c r="J52" s="87" t="s">
        <v>182</v>
      </c>
      <c r="K52" s="111"/>
      <c r="L52" s="68"/>
    </row>
    <row r="53" spans="1:12" ht="30" x14ac:dyDescent="0.25">
      <c r="A53" s="105"/>
      <c r="B53" s="105"/>
      <c r="C53" s="89" t="s">
        <v>165</v>
      </c>
      <c r="D53" s="82" t="s">
        <v>173</v>
      </c>
      <c r="E53" s="82" t="s">
        <v>170</v>
      </c>
      <c r="F53" s="83">
        <v>250</v>
      </c>
      <c r="G53" s="84">
        <v>6801.3</v>
      </c>
      <c r="H53" s="86">
        <f t="shared" si="4"/>
        <v>27.205200000000001</v>
      </c>
      <c r="I53" s="82" t="s">
        <v>181</v>
      </c>
      <c r="J53" s="87" t="s">
        <v>182</v>
      </c>
      <c r="K53" s="111"/>
      <c r="L53" s="68"/>
    </row>
    <row r="54" spans="1:12" ht="30" x14ac:dyDescent="0.25">
      <c r="A54" s="105"/>
      <c r="B54" s="105"/>
      <c r="C54" s="89" t="s">
        <v>165</v>
      </c>
      <c r="D54" s="82" t="s">
        <v>174</v>
      </c>
      <c r="E54" s="82" t="s">
        <v>170</v>
      </c>
      <c r="F54" s="83">
        <v>500</v>
      </c>
      <c r="G54" s="84">
        <v>15068.3</v>
      </c>
      <c r="H54" s="86">
        <f t="shared" si="4"/>
        <v>30.136599999999998</v>
      </c>
      <c r="I54" s="82" t="s">
        <v>181</v>
      </c>
      <c r="J54" s="87" t="s">
        <v>182</v>
      </c>
      <c r="K54" s="111"/>
      <c r="L54" s="68"/>
    </row>
    <row r="55" spans="1:12" ht="30" x14ac:dyDescent="0.25">
      <c r="A55" s="105"/>
      <c r="B55" s="105"/>
      <c r="C55" s="89" t="s">
        <v>165</v>
      </c>
      <c r="D55" s="82" t="s">
        <v>175</v>
      </c>
      <c r="E55" s="82" t="s">
        <v>170</v>
      </c>
      <c r="F55" s="83">
        <v>5</v>
      </c>
      <c r="G55" s="84">
        <v>143.51</v>
      </c>
      <c r="H55" s="86">
        <f t="shared" si="4"/>
        <v>28.701999999999998</v>
      </c>
      <c r="I55" s="82" t="s">
        <v>181</v>
      </c>
      <c r="J55" s="87" t="s">
        <v>182</v>
      </c>
      <c r="K55" s="111"/>
      <c r="L55" s="68"/>
    </row>
    <row r="56" spans="1:12" ht="30" x14ac:dyDescent="0.25">
      <c r="A56" s="105"/>
      <c r="B56" s="105"/>
      <c r="C56" s="89" t="s">
        <v>165</v>
      </c>
      <c r="D56" s="82" t="s">
        <v>167</v>
      </c>
      <c r="E56" s="82" t="s">
        <v>110</v>
      </c>
      <c r="F56" s="83">
        <v>10</v>
      </c>
      <c r="G56" s="84">
        <v>429.4</v>
      </c>
      <c r="H56" s="86">
        <f t="shared" si="4"/>
        <v>42.94</v>
      </c>
      <c r="I56" s="82" t="s">
        <v>183</v>
      </c>
      <c r="J56" s="87" t="s">
        <v>184</v>
      </c>
      <c r="K56" s="111"/>
      <c r="L56" s="68"/>
    </row>
    <row r="57" spans="1:12" ht="30" x14ac:dyDescent="0.25">
      <c r="A57" s="105"/>
      <c r="B57" s="105"/>
      <c r="C57" s="89" t="s">
        <v>165</v>
      </c>
      <c r="D57" s="82" t="s">
        <v>167</v>
      </c>
      <c r="E57" s="82" t="s">
        <v>110</v>
      </c>
      <c r="F57" s="83">
        <v>10</v>
      </c>
      <c r="G57" s="77">
        <v>429.4</v>
      </c>
      <c r="H57" s="78">
        <f t="shared" si="4"/>
        <v>42.94</v>
      </c>
      <c r="I57" s="82" t="s">
        <v>185</v>
      </c>
      <c r="J57" s="87" t="s">
        <v>184</v>
      </c>
      <c r="K57" s="111"/>
      <c r="L57" s="68"/>
    </row>
    <row r="58" spans="1:12" ht="30" x14ac:dyDescent="0.25">
      <c r="A58" s="105"/>
      <c r="B58" s="105"/>
      <c r="C58" s="89" t="s">
        <v>165</v>
      </c>
      <c r="D58" s="82" t="s">
        <v>176</v>
      </c>
      <c r="E58" s="82" t="s">
        <v>110</v>
      </c>
      <c r="F58" s="83">
        <v>5</v>
      </c>
      <c r="G58" s="84">
        <v>228.5</v>
      </c>
      <c r="H58" s="86">
        <f t="shared" si="4"/>
        <v>45.7</v>
      </c>
      <c r="I58" s="82" t="s">
        <v>183</v>
      </c>
      <c r="J58" s="87" t="s">
        <v>186</v>
      </c>
      <c r="K58" s="111"/>
      <c r="L58" s="68"/>
    </row>
    <row r="59" spans="1:12" ht="30" x14ac:dyDescent="0.25">
      <c r="A59" s="105"/>
      <c r="B59" s="105"/>
      <c r="C59" s="89" t="s">
        <v>165</v>
      </c>
      <c r="D59" s="82" t="s">
        <v>176</v>
      </c>
      <c r="E59" s="82" t="s">
        <v>110</v>
      </c>
      <c r="F59" s="83">
        <v>5</v>
      </c>
      <c r="G59" s="77">
        <v>228.5</v>
      </c>
      <c r="H59" s="78">
        <f t="shared" si="4"/>
        <v>45.7</v>
      </c>
      <c r="I59" s="82" t="s">
        <v>185</v>
      </c>
      <c r="J59" s="87" t="s">
        <v>186</v>
      </c>
      <c r="K59" s="111"/>
      <c r="L59" s="68"/>
    </row>
    <row r="60" spans="1:12" ht="30" x14ac:dyDescent="0.25">
      <c r="A60" s="105"/>
      <c r="B60" s="105"/>
      <c r="C60" s="89" t="s">
        <v>165</v>
      </c>
      <c r="D60" s="82" t="s">
        <v>177</v>
      </c>
      <c r="E60" s="82" t="s">
        <v>110</v>
      </c>
      <c r="F60" s="83">
        <v>100</v>
      </c>
      <c r="G60" s="84">
        <v>8643.9</v>
      </c>
      <c r="H60" s="86">
        <f t="shared" si="4"/>
        <v>86.438999999999993</v>
      </c>
      <c r="I60" s="82" t="s">
        <v>183</v>
      </c>
      <c r="J60" s="87" t="s">
        <v>187</v>
      </c>
      <c r="K60" s="111"/>
      <c r="L60" s="68"/>
    </row>
    <row r="61" spans="1:12" ht="30" x14ac:dyDescent="0.25">
      <c r="A61" s="105"/>
      <c r="B61" s="105"/>
      <c r="C61" s="89" t="s">
        <v>165</v>
      </c>
      <c r="D61" s="82" t="s">
        <v>177</v>
      </c>
      <c r="E61" s="82" t="s">
        <v>110</v>
      </c>
      <c r="F61" s="83">
        <v>100</v>
      </c>
      <c r="G61" s="77">
        <v>8643.9</v>
      </c>
      <c r="H61" s="78">
        <f t="shared" si="4"/>
        <v>86.438999999999993</v>
      </c>
      <c r="I61" s="82" t="s">
        <v>185</v>
      </c>
      <c r="J61" s="87" t="s">
        <v>187</v>
      </c>
      <c r="K61" s="111"/>
      <c r="L61" s="68"/>
    </row>
    <row r="62" spans="1:12" ht="75" x14ac:dyDescent="0.25">
      <c r="A62" s="105"/>
      <c r="B62" s="105"/>
      <c r="C62" s="89" t="s">
        <v>165</v>
      </c>
      <c r="D62" s="82" t="s">
        <v>178</v>
      </c>
      <c r="E62" s="82" t="s">
        <v>111</v>
      </c>
      <c r="F62" s="83">
        <v>5</v>
      </c>
      <c r="G62" s="77">
        <v>228.5</v>
      </c>
      <c r="H62" s="78">
        <f t="shared" si="4"/>
        <v>45.7</v>
      </c>
      <c r="I62" s="82" t="s">
        <v>185</v>
      </c>
      <c r="J62" s="87" t="s">
        <v>188</v>
      </c>
      <c r="K62" s="111"/>
      <c r="L62" s="68"/>
    </row>
    <row r="63" spans="1:12" ht="75" x14ac:dyDescent="0.25">
      <c r="A63" s="105"/>
      <c r="B63" s="105"/>
      <c r="C63" s="89" t="s">
        <v>165</v>
      </c>
      <c r="D63" s="82" t="s">
        <v>179</v>
      </c>
      <c r="E63" s="82" t="s">
        <v>111</v>
      </c>
      <c r="F63" s="83">
        <v>10</v>
      </c>
      <c r="G63" s="77">
        <v>429.4</v>
      </c>
      <c r="H63" s="78">
        <f t="shared" si="4"/>
        <v>42.94</v>
      </c>
      <c r="I63" s="82" t="s">
        <v>185</v>
      </c>
      <c r="J63" s="87" t="s">
        <v>188</v>
      </c>
      <c r="K63" s="111"/>
      <c r="L63" s="68"/>
    </row>
    <row r="64" spans="1:12" ht="75" x14ac:dyDescent="0.25">
      <c r="A64" s="105"/>
      <c r="B64" s="105"/>
      <c r="C64" s="89" t="s">
        <v>165</v>
      </c>
      <c r="D64" s="82" t="s">
        <v>177</v>
      </c>
      <c r="E64" s="82" t="s">
        <v>111</v>
      </c>
      <c r="F64" s="83">
        <v>100</v>
      </c>
      <c r="G64" s="77">
        <v>8643.9</v>
      </c>
      <c r="H64" s="78">
        <f t="shared" si="4"/>
        <v>86.438999999999993</v>
      </c>
      <c r="I64" s="82" t="s">
        <v>185</v>
      </c>
      <c r="J64" s="87" t="s">
        <v>188</v>
      </c>
      <c r="K64" s="111"/>
      <c r="L64" s="68"/>
    </row>
    <row r="65" spans="1:12" ht="30" x14ac:dyDescent="0.25">
      <c r="A65" s="105"/>
      <c r="B65" s="105"/>
      <c r="C65" s="89" t="s">
        <v>165</v>
      </c>
      <c r="D65" s="82" t="s">
        <v>180</v>
      </c>
      <c r="E65" s="82" t="s">
        <v>110</v>
      </c>
      <c r="F65" s="83">
        <v>100</v>
      </c>
      <c r="G65" s="84">
        <v>8885.7999999999993</v>
      </c>
      <c r="H65" s="86">
        <f t="shared" si="4"/>
        <v>88.85799999999999</v>
      </c>
      <c r="I65" s="82" t="s">
        <v>183</v>
      </c>
      <c r="J65" s="87" t="s">
        <v>189</v>
      </c>
      <c r="K65" s="111"/>
      <c r="L65" s="68"/>
    </row>
    <row r="66" spans="1:12" ht="75" x14ac:dyDescent="0.25">
      <c r="A66" s="105"/>
      <c r="B66" s="105"/>
      <c r="C66" s="89" t="s">
        <v>165</v>
      </c>
      <c r="D66" s="82" t="s">
        <v>179</v>
      </c>
      <c r="E66" s="82" t="s">
        <v>111</v>
      </c>
      <c r="F66" s="83">
        <v>10</v>
      </c>
      <c r="G66" s="77">
        <v>442.2</v>
      </c>
      <c r="H66" s="78">
        <f t="shared" si="4"/>
        <v>44.22</v>
      </c>
      <c r="I66" s="79" t="s">
        <v>185</v>
      </c>
      <c r="J66" s="87" t="s">
        <v>190</v>
      </c>
      <c r="K66" s="111"/>
      <c r="L66" s="68"/>
    </row>
    <row r="67" spans="1:12" ht="75" x14ac:dyDescent="0.25">
      <c r="A67" s="105"/>
      <c r="B67" s="105"/>
      <c r="C67" s="89" t="s">
        <v>165</v>
      </c>
      <c r="D67" s="82" t="s">
        <v>177</v>
      </c>
      <c r="E67" s="82" t="s">
        <v>111</v>
      </c>
      <c r="F67" s="83">
        <v>100</v>
      </c>
      <c r="G67" s="77">
        <v>8885.7999999999993</v>
      </c>
      <c r="H67" s="78">
        <f t="shared" si="4"/>
        <v>88.85799999999999</v>
      </c>
      <c r="I67" s="82" t="s">
        <v>185</v>
      </c>
      <c r="J67" s="87" t="s">
        <v>189</v>
      </c>
      <c r="K67" s="111"/>
      <c r="L67" s="68"/>
    </row>
    <row r="68" spans="1:12" ht="30" x14ac:dyDescent="0.25">
      <c r="A68" s="105"/>
      <c r="B68" s="105"/>
      <c r="C68" s="89" t="s">
        <v>165</v>
      </c>
      <c r="D68" s="82" t="s">
        <v>167</v>
      </c>
      <c r="E68" s="82" t="s">
        <v>110</v>
      </c>
      <c r="F68" s="83">
        <v>10</v>
      </c>
      <c r="G68" s="84">
        <v>442.2</v>
      </c>
      <c r="H68" s="86">
        <f t="shared" si="4"/>
        <v>44.22</v>
      </c>
      <c r="I68" s="82" t="s">
        <v>183</v>
      </c>
      <c r="J68" s="87" t="s">
        <v>190</v>
      </c>
      <c r="K68" s="111"/>
      <c r="L68" s="68"/>
    </row>
    <row r="69" spans="1:12" ht="30" x14ac:dyDescent="0.25">
      <c r="A69" s="105"/>
      <c r="B69" s="105"/>
      <c r="C69" s="89" t="s">
        <v>165</v>
      </c>
      <c r="D69" s="82" t="s">
        <v>167</v>
      </c>
      <c r="E69" s="82" t="s">
        <v>110</v>
      </c>
      <c r="F69" s="83">
        <v>10</v>
      </c>
      <c r="G69" s="77">
        <v>442.2</v>
      </c>
      <c r="H69" s="78">
        <f t="shared" si="4"/>
        <v>44.22</v>
      </c>
      <c r="I69" s="79" t="s">
        <v>185</v>
      </c>
      <c r="J69" s="87" t="s">
        <v>191</v>
      </c>
      <c r="K69" s="111"/>
      <c r="L69" s="68"/>
    </row>
    <row r="70" spans="1:12" ht="30" x14ac:dyDescent="0.25">
      <c r="A70" s="105"/>
      <c r="B70" s="105"/>
      <c r="C70" s="89" t="s">
        <v>165</v>
      </c>
      <c r="D70" s="82" t="s">
        <v>176</v>
      </c>
      <c r="E70" s="82" t="s">
        <v>110</v>
      </c>
      <c r="F70" s="83">
        <v>5</v>
      </c>
      <c r="G70" s="84">
        <v>233.8</v>
      </c>
      <c r="H70" s="86">
        <f t="shared" si="4"/>
        <v>46.760000000000005</v>
      </c>
      <c r="I70" s="82" t="s">
        <v>183</v>
      </c>
      <c r="J70" s="87" t="s">
        <v>192</v>
      </c>
      <c r="K70" s="111"/>
      <c r="L70" s="68"/>
    </row>
    <row r="71" spans="1:12" ht="75" x14ac:dyDescent="0.25">
      <c r="A71" s="105"/>
      <c r="B71" s="105"/>
      <c r="C71" s="89" t="s">
        <v>165</v>
      </c>
      <c r="D71" s="82" t="s">
        <v>178</v>
      </c>
      <c r="E71" s="82" t="s">
        <v>111</v>
      </c>
      <c r="F71" s="83">
        <v>5</v>
      </c>
      <c r="G71" s="77">
        <v>233.8</v>
      </c>
      <c r="H71" s="78">
        <f t="shared" si="4"/>
        <v>46.760000000000005</v>
      </c>
      <c r="I71" s="82" t="s">
        <v>185</v>
      </c>
      <c r="J71" s="87" t="s">
        <v>192</v>
      </c>
      <c r="K71" s="111"/>
      <c r="L71" s="68"/>
    </row>
    <row r="72" spans="1:12" ht="45" x14ac:dyDescent="0.25">
      <c r="A72" s="105">
        <v>5</v>
      </c>
      <c r="B72" s="105" t="s">
        <v>89</v>
      </c>
      <c r="C72" s="89" t="s">
        <v>89</v>
      </c>
      <c r="D72" s="82" t="s">
        <v>193</v>
      </c>
      <c r="E72" s="82" t="s">
        <v>110</v>
      </c>
      <c r="F72" s="83">
        <v>10</v>
      </c>
      <c r="G72" s="77">
        <v>225.83</v>
      </c>
      <c r="H72" s="78">
        <f>G72/F72</f>
        <v>22.583000000000002</v>
      </c>
      <c r="I72" s="90" t="s">
        <v>195</v>
      </c>
      <c r="J72" s="91" t="s">
        <v>196</v>
      </c>
      <c r="K72" s="106">
        <v>22.58</v>
      </c>
      <c r="L72" s="68"/>
    </row>
    <row r="73" spans="1:12" ht="75" x14ac:dyDescent="0.25">
      <c r="A73" s="105"/>
      <c r="B73" s="105"/>
      <c r="C73" s="89" t="s">
        <v>89</v>
      </c>
      <c r="D73" s="82" t="s">
        <v>194</v>
      </c>
      <c r="E73" s="82" t="s">
        <v>111</v>
      </c>
      <c r="F73" s="83">
        <v>10</v>
      </c>
      <c r="G73" s="77">
        <v>225.83</v>
      </c>
      <c r="H73" s="78">
        <f t="shared" ref="H73:H74" si="5">G73/F73</f>
        <v>22.583000000000002</v>
      </c>
      <c r="I73" s="90" t="s">
        <v>195</v>
      </c>
      <c r="J73" s="91" t="s">
        <v>197</v>
      </c>
      <c r="K73" s="106"/>
      <c r="L73" s="68"/>
    </row>
    <row r="74" spans="1:12" ht="75" x14ac:dyDescent="0.25">
      <c r="A74" s="105"/>
      <c r="B74" s="105"/>
      <c r="C74" s="89" t="s">
        <v>89</v>
      </c>
      <c r="D74" s="82" t="s">
        <v>194</v>
      </c>
      <c r="E74" s="82" t="s">
        <v>111</v>
      </c>
      <c r="F74" s="83">
        <v>10</v>
      </c>
      <c r="G74" s="84">
        <v>233.9</v>
      </c>
      <c r="H74" s="86">
        <f t="shared" si="5"/>
        <v>23.39</v>
      </c>
      <c r="I74" s="90" t="s">
        <v>195</v>
      </c>
      <c r="J74" s="91" t="s">
        <v>198</v>
      </c>
      <c r="K74" s="106"/>
      <c r="L74" s="68"/>
    </row>
    <row r="76" spans="1:12" x14ac:dyDescent="0.25">
      <c r="B76" s="104" t="s">
        <v>200</v>
      </c>
      <c r="C76" s="104"/>
      <c r="D76" s="104"/>
      <c r="E76" s="104"/>
      <c r="F76" s="104"/>
      <c r="G76" s="104"/>
      <c r="H76" s="104"/>
      <c r="I76" s="104"/>
      <c r="J76" s="104"/>
      <c r="K76" s="104"/>
      <c r="L76" s="104"/>
    </row>
    <row r="77" spans="1:12" x14ac:dyDescent="0.25"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</row>
    <row r="78" spans="1:12" x14ac:dyDescent="0.25"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</row>
    <row r="79" spans="1:12" x14ac:dyDescent="0.25"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</row>
    <row r="80" spans="1:12" x14ac:dyDescent="0.25"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</row>
    <row r="81" spans="2:12" x14ac:dyDescent="0.25"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</row>
    <row r="82" spans="2:12" ht="12.75" customHeight="1" x14ac:dyDescent="0.25"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</row>
    <row r="83" spans="2:12" hidden="1" x14ac:dyDescent="0.25"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</row>
    <row r="84" spans="2:12" hidden="1" x14ac:dyDescent="0.25"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</row>
    <row r="85" spans="2:12" hidden="1" x14ac:dyDescent="0.25"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</row>
    <row r="86" spans="2:12" hidden="1" x14ac:dyDescent="0.25"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</row>
    <row r="88" spans="2:12" x14ac:dyDescent="0.25"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</row>
    <row r="89" spans="2:12" x14ac:dyDescent="0.25"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</row>
    <row r="90" spans="2:12" x14ac:dyDescent="0.25"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</row>
    <row r="91" spans="2:12" x14ac:dyDescent="0.25"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</row>
    <row r="92" spans="2:12" x14ac:dyDescent="0.25"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</row>
    <row r="93" spans="2:12" x14ac:dyDescent="0.25"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</row>
    <row r="94" spans="2:12" x14ac:dyDescent="0.25"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</row>
    <row r="372" spans="2:4" x14ac:dyDescent="0.25">
      <c r="B372" s="107"/>
      <c r="C372" s="107"/>
      <c r="D372" s="107"/>
    </row>
  </sheetData>
  <autoFilter ref="A7:K7"/>
  <mergeCells count="22">
    <mergeCell ref="B372:D372"/>
    <mergeCell ref="A2:L2"/>
    <mergeCell ref="A3:L3"/>
    <mergeCell ref="A4:L4"/>
    <mergeCell ref="A5:L5"/>
    <mergeCell ref="K8:K23"/>
    <mergeCell ref="B8:B23"/>
    <mergeCell ref="A8:A23"/>
    <mergeCell ref="K24:K43"/>
    <mergeCell ref="A44:A47"/>
    <mergeCell ref="B44:B47"/>
    <mergeCell ref="K44:K47"/>
    <mergeCell ref="K48:K71"/>
    <mergeCell ref="B48:B71"/>
    <mergeCell ref="A48:A71"/>
    <mergeCell ref="B88:L94"/>
    <mergeCell ref="B24:B43"/>
    <mergeCell ref="A24:A43"/>
    <mergeCell ref="B76:L86"/>
    <mergeCell ref="B72:B74"/>
    <mergeCell ref="A72:A74"/>
    <mergeCell ref="K72:K74"/>
  </mergeCells>
  <pageMargins left="0.23622047244094491" right="0.23622047244094491" top="0.74803149606299213" bottom="0.74803149606299213" header="0.31496062992125984" footer="0.31496062992125984"/>
  <pageSetup paperSize="9"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5"/>
  <sheetViews>
    <sheetView workbookViewId="0">
      <selection activeCell="B7" sqref="B7"/>
    </sheetView>
  </sheetViews>
  <sheetFormatPr defaultRowHeight="13.5" x14ac:dyDescent="0.25"/>
  <cols>
    <col min="1" max="1" width="7.28515625" style="7" customWidth="1"/>
    <col min="2" max="2" width="33.7109375" style="7" customWidth="1"/>
    <col min="3" max="3" width="34.28515625" style="7" customWidth="1"/>
    <col min="4" max="4" width="10.85546875" style="7" customWidth="1"/>
    <col min="5" max="5" width="12.85546875" style="7" customWidth="1"/>
    <col min="6" max="6" width="11.85546875" style="7" customWidth="1"/>
    <col min="7" max="7" width="15.5703125" style="7" customWidth="1"/>
    <col min="8" max="8" width="15.42578125" style="7" customWidth="1"/>
    <col min="9" max="9" width="16.5703125" style="7" customWidth="1"/>
    <col min="10" max="10" width="36.28515625" style="7" customWidth="1"/>
    <col min="11" max="11" width="32.28515625" style="7" customWidth="1"/>
    <col min="12" max="12" width="28.7109375" style="7" customWidth="1"/>
    <col min="13" max="16384" width="9.140625" style="7"/>
  </cols>
  <sheetData>
    <row r="2" spans="1:13" ht="43.5" customHeight="1" x14ac:dyDescent="0.25">
      <c r="A2" s="116" t="s">
        <v>52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23"/>
    </row>
    <row r="3" spans="1:13" ht="102" customHeight="1" x14ac:dyDescent="0.25">
      <c r="A3" s="115" t="s">
        <v>53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23"/>
    </row>
    <row r="5" spans="1:13" s="14" customFormat="1" ht="63.75" x14ac:dyDescent="0.25">
      <c r="A5" s="12" t="s">
        <v>0</v>
      </c>
      <c r="B5" s="12" t="s">
        <v>17</v>
      </c>
      <c r="C5" s="12" t="s">
        <v>44</v>
      </c>
      <c r="D5" s="13" t="s">
        <v>35</v>
      </c>
      <c r="E5" s="13" t="s">
        <v>47</v>
      </c>
      <c r="F5" s="13" t="s">
        <v>48</v>
      </c>
      <c r="G5" s="13" t="s">
        <v>36</v>
      </c>
      <c r="H5" s="13" t="s">
        <v>37</v>
      </c>
      <c r="I5" s="16" t="s">
        <v>32</v>
      </c>
      <c r="J5" s="12" t="s">
        <v>38</v>
      </c>
      <c r="K5" s="12" t="s">
        <v>39</v>
      </c>
      <c r="L5" s="15" t="s">
        <v>40</v>
      </c>
    </row>
    <row r="6" spans="1:13" s="18" customFormat="1" ht="44.25" customHeight="1" x14ac:dyDescent="0.25">
      <c r="A6" s="17">
        <v>1</v>
      </c>
      <c r="B6" s="22" t="str">
        <f>'Справочник лекарств'!B8</f>
        <v>Диазепам</v>
      </c>
      <c r="C6" s="112" t="s">
        <v>54</v>
      </c>
      <c r="D6" s="113"/>
      <c r="E6" s="113"/>
      <c r="F6" s="113"/>
      <c r="G6" s="113"/>
      <c r="H6" s="113"/>
      <c r="I6" s="113"/>
      <c r="J6" s="113"/>
      <c r="K6" s="114"/>
      <c r="L6" s="28"/>
    </row>
    <row r="7" spans="1:13" s="27" customFormat="1" ht="18" customHeight="1" x14ac:dyDescent="0.25">
      <c r="A7" s="19"/>
      <c r="B7" s="19"/>
      <c r="C7" s="19"/>
      <c r="D7" s="19"/>
      <c r="E7" s="20" t="s">
        <v>43</v>
      </c>
      <c r="F7" s="21">
        <f>F6</f>
        <v>0</v>
      </c>
      <c r="G7" s="19"/>
      <c r="H7" s="19"/>
      <c r="I7" s="19"/>
      <c r="J7" s="19"/>
      <c r="K7" s="19"/>
      <c r="L7" s="19"/>
    </row>
    <row r="8" spans="1:13" s="18" customFormat="1" ht="44.25" customHeight="1" x14ac:dyDescent="0.25">
      <c r="A8" s="17">
        <v>2</v>
      </c>
      <c r="B8" s="22" t="str">
        <f>'Справочник лекарств'!B9</f>
        <v>Фентанил</v>
      </c>
      <c r="C8" s="112" t="s">
        <v>54</v>
      </c>
      <c r="D8" s="113"/>
      <c r="E8" s="113"/>
      <c r="F8" s="113"/>
      <c r="G8" s="113"/>
      <c r="H8" s="113"/>
      <c r="I8" s="113"/>
      <c r="J8" s="113"/>
      <c r="K8" s="114"/>
      <c r="L8" s="28"/>
    </row>
    <row r="9" spans="1:13" s="27" customFormat="1" ht="18" customHeight="1" x14ac:dyDescent="0.25">
      <c r="A9" s="19"/>
      <c r="B9" s="19"/>
      <c r="C9" s="19"/>
      <c r="D9" s="19"/>
      <c r="E9" s="20" t="s">
        <v>43</v>
      </c>
      <c r="F9" s="21">
        <f>F8</f>
        <v>0</v>
      </c>
      <c r="G9" s="19"/>
      <c r="H9" s="19"/>
      <c r="I9" s="19"/>
      <c r="J9" s="19"/>
      <c r="K9" s="19"/>
      <c r="L9" s="19"/>
    </row>
    <row r="10" spans="1:13" s="18" customFormat="1" ht="44.25" customHeight="1" x14ac:dyDescent="0.25">
      <c r="A10" s="17">
        <v>3</v>
      </c>
      <c r="B10" s="22" t="str">
        <f>'Справочник лекарств'!B10</f>
        <v>Кетамин</v>
      </c>
      <c r="C10" s="112" t="s">
        <v>54</v>
      </c>
      <c r="D10" s="113"/>
      <c r="E10" s="113"/>
      <c r="F10" s="113"/>
      <c r="G10" s="113"/>
      <c r="H10" s="113"/>
      <c r="I10" s="113"/>
      <c r="J10" s="113"/>
      <c r="K10" s="114"/>
      <c r="L10" s="28"/>
    </row>
    <row r="11" spans="1:13" s="27" customFormat="1" ht="18" customHeight="1" x14ac:dyDescent="0.25">
      <c r="A11" s="19"/>
      <c r="B11" s="19"/>
      <c r="C11" s="19"/>
      <c r="D11" s="19"/>
      <c r="E11" s="20" t="s">
        <v>43</v>
      </c>
      <c r="F11" s="21">
        <f>F10</f>
        <v>0</v>
      </c>
      <c r="G11" s="19"/>
      <c r="H11" s="19"/>
      <c r="I11" s="19"/>
      <c r="J11" s="19"/>
      <c r="K11" s="19"/>
      <c r="L11" s="19"/>
    </row>
    <row r="12" spans="1:13" s="18" customFormat="1" ht="44.25" customHeight="1" x14ac:dyDescent="0.25">
      <c r="A12" s="17">
        <v>4</v>
      </c>
      <c r="B12" s="22" t="str">
        <f>'Справочник лекарств'!B11</f>
        <v>Тримеперидин</v>
      </c>
      <c r="C12" s="112" t="s">
        <v>54</v>
      </c>
      <c r="D12" s="113"/>
      <c r="E12" s="113"/>
      <c r="F12" s="113"/>
      <c r="G12" s="113"/>
      <c r="H12" s="113"/>
      <c r="I12" s="113"/>
      <c r="J12" s="113"/>
      <c r="K12" s="114"/>
      <c r="L12" s="28"/>
    </row>
    <row r="13" spans="1:13" s="27" customFormat="1" ht="18" customHeight="1" x14ac:dyDescent="0.25">
      <c r="A13" s="19"/>
      <c r="B13" s="19"/>
      <c r="C13" s="19"/>
      <c r="D13" s="19"/>
      <c r="E13" s="20" t="s">
        <v>43</v>
      </c>
      <c r="F13" s="21">
        <f>F12</f>
        <v>0</v>
      </c>
      <c r="G13" s="19"/>
      <c r="H13" s="19"/>
      <c r="I13" s="19"/>
      <c r="J13" s="19"/>
      <c r="K13" s="19"/>
      <c r="L13" s="19"/>
    </row>
    <row r="14" spans="1:13" s="18" customFormat="1" ht="44.25" customHeight="1" x14ac:dyDescent="0.25">
      <c r="A14" s="17">
        <v>5</v>
      </c>
      <c r="B14" s="22" t="str">
        <f>'Справочник лекарств'!B12</f>
        <v>Морфин</v>
      </c>
      <c r="C14" s="112" t="s">
        <v>54</v>
      </c>
      <c r="D14" s="113"/>
      <c r="E14" s="113"/>
      <c r="F14" s="113"/>
      <c r="G14" s="113"/>
      <c r="H14" s="113"/>
      <c r="I14" s="113"/>
      <c r="J14" s="113"/>
      <c r="K14" s="114"/>
      <c r="L14" s="28"/>
    </row>
    <row r="15" spans="1:13" s="27" customFormat="1" ht="18" customHeight="1" x14ac:dyDescent="0.25">
      <c r="A15" s="19"/>
      <c r="B15" s="19"/>
      <c r="C15" s="19"/>
      <c r="D15" s="19"/>
      <c r="E15" s="20" t="s">
        <v>43</v>
      </c>
      <c r="F15" s="21">
        <f>F14</f>
        <v>0</v>
      </c>
      <c r="G15" s="19"/>
      <c r="H15" s="19"/>
      <c r="I15" s="19"/>
      <c r="J15" s="19"/>
      <c r="K15" s="19"/>
      <c r="L15" s="19"/>
    </row>
  </sheetData>
  <mergeCells count="7">
    <mergeCell ref="C14:K14"/>
    <mergeCell ref="C6:K6"/>
    <mergeCell ref="A3:L3"/>
    <mergeCell ref="A2:L2"/>
    <mergeCell ref="C8:K8"/>
    <mergeCell ref="C12:K12"/>
    <mergeCell ref="C10:K10"/>
  </mergeCells>
  <pageMargins left="0.25" right="0.25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zoomScale="85" zoomScaleNormal="85" workbookViewId="0">
      <selection activeCell="B17" sqref="B17:L21"/>
    </sheetView>
  </sheetViews>
  <sheetFormatPr defaultColWidth="8.85546875" defaultRowHeight="15" x14ac:dyDescent="0.25"/>
  <cols>
    <col min="1" max="1" width="4" style="4" customWidth="1"/>
    <col min="2" max="2" width="24.28515625" style="4" customWidth="1"/>
    <col min="3" max="3" width="59.85546875" style="4" customWidth="1"/>
    <col min="4" max="4" width="39.7109375" style="4" customWidth="1"/>
    <col min="5" max="5" width="11.5703125" style="4" customWidth="1"/>
    <col min="6" max="6" width="15.5703125" style="4" customWidth="1"/>
    <col min="7" max="7" width="12" style="4" customWidth="1"/>
    <col min="8" max="8" width="13" style="4" customWidth="1"/>
    <col min="9" max="9" width="12.140625" style="4" customWidth="1"/>
    <col min="10" max="10" width="16" style="4" customWidth="1"/>
    <col min="11" max="11" width="10.140625" style="4" customWidth="1"/>
    <col min="12" max="12" width="13.28515625" style="4" customWidth="1"/>
    <col min="13" max="13" width="11" style="4" customWidth="1"/>
    <col min="14" max="14" width="16.140625" style="4" customWidth="1"/>
    <col min="15" max="15" width="12.7109375" style="4" customWidth="1"/>
    <col min="16" max="16" width="13.42578125" style="4" customWidth="1"/>
    <col min="17" max="17" width="19.7109375" style="4" customWidth="1"/>
    <col min="18" max="16384" width="8.85546875" style="4"/>
  </cols>
  <sheetData>
    <row r="2" spans="1:17" ht="45.75" customHeight="1" x14ac:dyDescent="0.25">
      <c r="A2" s="119" t="s">
        <v>18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</row>
    <row r="3" spans="1:17" ht="15" customHeight="1" x14ac:dyDescent="0.25">
      <c r="A3" s="96" t="s">
        <v>30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</row>
    <row r="4" spans="1:17" ht="34.5" customHeight="1" x14ac:dyDescent="0.25">
      <c r="A4" s="121" t="s">
        <v>92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</row>
    <row r="5" spans="1:17" ht="24" customHeight="1" x14ac:dyDescent="0.25">
      <c r="A5" s="120" t="s">
        <v>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</row>
    <row r="6" spans="1:17" ht="1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7" s="1" customFormat="1" ht="33" customHeight="1" x14ac:dyDescent="0.2">
      <c r="A7" s="118" t="s">
        <v>0</v>
      </c>
      <c r="B7" s="125" t="s">
        <v>1</v>
      </c>
      <c r="C7" s="122" t="s">
        <v>13</v>
      </c>
      <c r="D7" s="122" t="s">
        <v>14</v>
      </c>
      <c r="E7" s="129" t="s">
        <v>69</v>
      </c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6" t="s">
        <v>33</v>
      </c>
    </row>
    <row r="8" spans="1:17" s="1" customFormat="1" ht="43.5" customHeight="1" x14ac:dyDescent="0.2">
      <c r="A8" s="118"/>
      <c r="B8" s="125"/>
      <c r="C8" s="123"/>
      <c r="D8" s="123"/>
      <c r="E8" s="118" t="s">
        <v>95</v>
      </c>
      <c r="F8" s="118"/>
      <c r="G8" s="118"/>
      <c r="H8" s="118"/>
      <c r="I8" s="118" t="s">
        <v>93</v>
      </c>
      <c r="J8" s="118"/>
      <c r="K8" s="118"/>
      <c r="L8" s="118"/>
      <c r="M8" s="118" t="s">
        <v>94</v>
      </c>
      <c r="N8" s="118"/>
      <c r="O8" s="118"/>
      <c r="P8" s="118"/>
      <c r="Q8" s="127"/>
    </row>
    <row r="9" spans="1:17" s="1" customFormat="1" ht="76.5" customHeight="1" x14ac:dyDescent="0.2">
      <c r="A9" s="118"/>
      <c r="B9" s="125"/>
      <c r="C9" s="124"/>
      <c r="D9" s="124"/>
      <c r="E9" s="10" t="s">
        <v>34</v>
      </c>
      <c r="F9" s="26" t="s">
        <v>12</v>
      </c>
      <c r="G9" s="10" t="s">
        <v>50</v>
      </c>
      <c r="H9" s="11" t="s">
        <v>27</v>
      </c>
      <c r="I9" s="10" t="s">
        <v>34</v>
      </c>
      <c r="J9" s="59" t="s">
        <v>12</v>
      </c>
      <c r="K9" s="10" t="s">
        <v>50</v>
      </c>
      <c r="L9" s="11" t="s">
        <v>27</v>
      </c>
      <c r="M9" s="10" t="s">
        <v>34</v>
      </c>
      <c r="N9" s="59" t="s">
        <v>12</v>
      </c>
      <c r="O9" s="10" t="s">
        <v>50</v>
      </c>
      <c r="P9" s="11" t="s">
        <v>27</v>
      </c>
      <c r="Q9" s="128"/>
    </row>
    <row r="10" spans="1:17" s="1" customFormat="1" ht="53.25" customHeight="1" x14ac:dyDescent="0.2">
      <c r="A10" s="2">
        <v>1</v>
      </c>
      <c r="B10" s="25" t="s">
        <v>73</v>
      </c>
      <c r="C10" s="9" t="s">
        <v>75</v>
      </c>
      <c r="D10" s="25" t="s">
        <v>76</v>
      </c>
      <c r="E10" s="67">
        <v>54.3</v>
      </c>
      <c r="F10" s="25" t="s">
        <v>77</v>
      </c>
      <c r="G10" s="10">
        <f>2*5</f>
        <v>10</v>
      </c>
      <c r="H10" s="70">
        <f>E10/G10</f>
        <v>5.43</v>
      </c>
      <c r="I10" s="67"/>
      <c r="J10" s="25"/>
      <c r="K10" s="10"/>
      <c r="L10" s="70"/>
      <c r="M10" s="67"/>
      <c r="N10" s="25"/>
      <c r="O10" s="10"/>
      <c r="P10" s="70"/>
      <c r="Q10" s="60">
        <v>5.43</v>
      </c>
    </row>
    <row r="11" spans="1:17" s="1" customFormat="1" ht="53.25" customHeight="1" x14ac:dyDescent="0.2">
      <c r="A11" s="2">
        <v>2</v>
      </c>
      <c r="B11" s="25" t="s">
        <v>78</v>
      </c>
      <c r="C11" s="9" t="s">
        <v>80</v>
      </c>
      <c r="D11" s="25" t="s">
        <v>81</v>
      </c>
      <c r="E11" s="88">
        <v>192.3</v>
      </c>
      <c r="F11" s="25" t="s">
        <v>77</v>
      </c>
      <c r="G11" s="10">
        <f>2*10</f>
        <v>20</v>
      </c>
      <c r="H11" s="70">
        <f>E11/G11</f>
        <v>9.6150000000000002</v>
      </c>
      <c r="I11" s="67"/>
      <c r="J11" s="25"/>
      <c r="K11" s="10"/>
      <c r="L11" s="70"/>
      <c r="M11" s="67"/>
      <c r="N11" s="25"/>
      <c r="O11" s="10"/>
      <c r="P11" s="70"/>
      <c r="Q11" s="60">
        <v>9.6199999999999992</v>
      </c>
    </row>
    <row r="12" spans="1:17" s="1" customFormat="1" ht="53.25" customHeight="1" x14ac:dyDescent="0.2">
      <c r="A12" s="2">
        <v>3</v>
      </c>
      <c r="B12" s="25" t="s">
        <v>82</v>
      </c>
      <c r="C12" s="9" t="s">
        <v>80</v>
      </c>
      <c r="D12" s="25" t="s">
        <v>84</v>
      </c>
      <c r="E12" s="67">
        <f>285.18/1.1/1.49</f>
        <v>173.99633923123855</v>
      </c>
      <c r="F12" s="25" t="s">
        <v>77</v>
      </c>
      <c r="G12" s="10">
        <f>2*5</f>
        <v>10</v>
      </c>
      <c r="H12" s="70">
        <f>E12/G12</f>
        <v>17.399633923123854</v>
      </c>
      <c r="I12" s="67"/>
      <c r="J12" s="25"/>
      <c r="K12" s="10"/>
      <c r="L12" s="70"/>
      <c r="M12" s="67"/>
      <c r="N12" s="25"/>
      <c r="O12" s="10"/>
      <c r="P12" s="70"/>
      <c r="Q12" s="60">
        <v>17.399999999999999</v>
      </c>
    </row>
    <row r="13" spans="1:17" s="1" customFormat="1" ht="53.25" customHeight="1" x14ac:dyDescent="0.2">
      <c r="A13" s="2">
        <v>4</v>
      </c>
      <c r="B13" s="25" t="s">
        <v>85</v>
      </c>
      <c r="C13" s="9" t="s">
        <v>87</v>
      </c>
      <c r="D13" s="25" t="s">
        <v>88</v>
      </c>
      <c r="E13" s="67">
        <f>724.76/1.1/1.49</f>
        <v>442.19646125686387</v>
      </c>
      <c r="F13" s="25" t="s">
        <v>77</v>
      </c>
      <c r="G13" s="10">
        <f>1*10</f>
        <v>10</v>
      </c>
      <c r="H13" s="70">
        <f>E13/G13</f>
        <v>44.219646125686388</v>
      </c>
      <c r="I13" s="67"/>
      <c r="J13" s="25"/>
      <c r="K13" s="10"/>
      <c r="L13" s="70"/>
      <c r="M13" s="67"/>
      <c r="N13" s="25"/>
      <c r="O13" s="10"/>
      <c r="P13" s="70"/>
      <c r="Q13" s="60">
        <v>44.22</v>
      </c>
    </row>
    <row r="14" spans="1:17" s="1" customFormat="1" ht="53.25" customHeight="1" x14ac:dyDescent="0.2">
      <c r="A14" s="2">
        <v>5</v>
      </c>
      <c r="B14" s="25" t="s">
        <v>89</v>
      </c>
      <c r="C14" s="9" t="s">
        <v>87</v>
      </c>
      <c r="D14" s="25" t="s">
        <v>91</v>
      </c>
      <c r="E14" s="67">
        <f>370.08/1.1/1.49</f>
        <v>225.79621720561315</v>
      </c>
      <c r="F14" s="25" t="s">
        <v>77</v>
      </c>
      <c r="G14" s="10">
        <f>1*10</f>
        <v>10</v>
      </c>
      <c r="H14" s="70">
        <f>E14/G14</f>
        <v>22.579621720561313</v>
      </c>
      <c r="I14" s="67"/>
      <c r="J14" s="25"/>
      <c r="K14" s="10"/>
      <c r="L14" s="70"/>
      <c r="M14" s="67"/>
      <c r="N14" s="25"/>
      <c r="O14" s="10"/>
      <c r="P14" s="70"/>
      <c r="Q14" s="60">
        <v>22.58</v>
      </c>
    </row>
    <row r="17" spans="2:12" x14ac:dyDescent="0.25">
      <c r="B17" s="117" t="s">
        <v>201</v>
      </c>
      <c r="C17" s="117"/>
      <c r="D17" s="117"/>
      <c r="E17" s="117"/>
      <c r="F17" s="117"/>
      <c r="G17" s="117"/>
      <c r="H17" s="117"/>
      <c r="I17" s="117"/>
      <c r="J17" s="117"/>
      <c r="K17" s="117"/>
      <c r="L17" s="117"/>
    </row>
    <row r="18" spans="2:12" x14ac:dyDescent="0.25"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</row>
    <row r="19" spans="2:12" x14ac:dyDescent="0.25"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</row>
    <row r="20" spans="2:12" x14ac:dyDescent="0.25"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</row>
    <row r="21" spans="2:12" x14ac:dyDescent="0.25"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</row>
  </sheetData>
  <mergeCells count="14">
    <mergeCell ref="B17:L21"/>
    <mergeCell ref="M8:P8"/>
    <mergeCell ref="A3:Q3"/>
    <mergeCell ref="A2:Q2"/>
    <mergeCell ref="A5:P5"/>
    <mergeCell ref="A4:Q4"/>
    <mergeCell ref="D7:D9"/>
    <mergeCell ref="A7:A9"/>
    <mergeCell ref="B7:B9"/>
    <mergeCell ref="C7:C9"/>
    <mergeCell ref="Q7:Q9"/>
    <mergeCell ref="E7:P7"/>
    <mergeCell ref="E8:H8"/>
    <mergeCell ref="I8:L8"/>
  </mergeCells>
  <pageMargins left="0.25" right="0.25" top="0.75" bottom="0.75" header="0.3" footer="0.3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zoomScale="85" zoomScaleNormal="85" workbookViewId="0">
      <selection activeCell="H9" sqref="H9"/>
    </sheetView>
  </sheetViews>
  <sheetFormatPr defaultColWidth="8.85546875" defaultRowHeight="15" x14ac:dyDescent="0.25"/>
  <cols>
    <col min="1" max="1" width="4.7109375" style="4" customWidth="1"/>
    <col min="2" max="2" width="25.28515625" style="4" customWidth="1"/>
    <col min="3" max="3" width="20.7109375" style="4" customWidth="1"/>
    <col min="4" max="4" width="19.42578125" style="4" customWidth="1"/>
    <col min="5" max="5" width="50.140625" style="4" customWidth="1"/>
    <col min="6" max="6" width="21.140625" style="4" customWidth="1"/>
    <col min="7" max="8" width="23.7109375" style="4" customWidth="1"/>
    <col min="9" max="9" width="25.28515625" style="4" customWidth="1"/>
    <col min="10" max="10" width="48.7109375" style="4" customWidth="1"/>
    <col min="11" max="11" width="18.28515625" style="4" customWidth="1"/>
    <col min="12" max="12" width="23.7109375" style="4" customWidth="1"/>
    <col min="13" max="16384" width="8.85546875" style="4"/>
  </cols>
  <sheetData>
    <row r="2" spans="1:12" ht="21.75" customHeight="1" x14ac:dyDescent="0.25">
      <c r="A2" s="130" t="s">
        <v>62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</row>
    <row r="4" spans="1:12" ht="76.5" customHeight="1" x14ac:dyDescent="0.25">
      <c r="A4" s="8" t="s">
        <v>0</v>
      </c>
      <c r="B4" s="25" t="s">
        <v>1</v>
      </c>
      <c r="C4" s="25" t="s">
        <v>11</v>
      </c>
      <c r="D4" s="25" t="s">
        <v>12</v>
      </c>
      <c r="E4" s="9" t="s">
        <v>13</v>
      </c>
      <c r="F4" s="25" t="s">
        <v>14</v>
      </c>
      <c r="G4" s="25" t="s">
        <v>15</v>
      </c>
      <c r="H4" s="25" t="s">
        <v>3</v>
      </c>
      <c r="I4" s="25" t="s">
        <v>2</v>
      </c>
      <c r="J4" s="25" t="s">
        <v>31</v>
      </c>
      <c r="K4" s="25" t="s">
        <v>7</v>
      </c>
      <c r="L4" s="9" t="s">
        <v>6</v>
      </c>
    </row>
    <row r="5" spans="1:12" ht="90.75" customHeight="1" x14ac:dyDescent="0.25">
      <c r="A5" s="31">
        <v>1</v>
      </c>
      <c r="B5" s="25" t="s">
        <v>73</v>
      </c>
      <c r="C5" s="25" t="s">
        <v>74</v>
      </c>
      <c r="D5" s="25" t="s">
        <v>77</v>
      </c>
      <c r="E5" s="9" t="s">
        <v>75</v>
      </c>
      <c r="F5" s="25" t="s">
        <v>76</v>
      </c>
      <c r="G5" s="25" t="s">
        <v>45</v>
      </c>
      <c r="H5" s="61">
        <f>'тарифный метод (только ЖНВЛП)'!$K$8</f>
        <v>5.43</v>
      </c>
      <c r="I5" s="61">
        <f>'анализ рынка'!Q10</f>
        <v>5.43</v>
      </c>
      <c r="J5" s="25" t="s">
        <v>54</v>
      </c>
      <c r="K5" s="47" t="s">
        <v>9</v>
      </c>
      <c r="L5" s="62">
        <v>5.43</v>
      </c>
    </row>
    <row r="6" spans="1:12" ht="90.75" customHeight="1" x14ac:dyDescent="0.25">
      <c r="A6" s="31">
        <v>2</v>
      </c>
      <c r="B6" s="25" t="s">
        <v>78</v>
      </c>
      <c r="C6" s="25" t="s">
        <v>79</v>
      </c>
      <c r="D6" s="25" t="s">
        <v>77</v>
      </c>
      <c r="E6" s="9" t="s">
        <v>80</v>
      </c>
      <c r="F6" s="25" t="s">
        <v>81</v>
      </c>
      <c r="G6" s="25" t="s">
        <v>45</v>
      </c>
      <c r="H6" s="61">
        <f>'тарифный метод (только ЖНВЛП)'!K24</f>
        <v>9.6199999999999992</v>
      </c>
      <c r="I6" s="61">
        <f>'анализ рынка'!Q11</f>
        <v>9.6199999999999992</v>
      </c>
      <c r="J6" s="25" t="s">
        <v>54</v>
      </c>
      <c r="K6" s="47" t="s">
        <v>9</v>
      </c>
      <c r="L6" s="62">
        <v>9.6199999999999992</v>
      </c>
    </row>
    <row r="7" spans="1:12" ht="90.75" customHeight="1" x14ac:dyDescent="0.25">
      <c r="A7" s="31">
        <v>3</v>
      </c>
      <c r="B7" s="25" t="s">
        <v>82</v>
      </c>
      <c r="C7" s="25" t="s">
        <v>83</v>
      </c>
      <c r="D7" s="25" t="s">
        <v>77</v>
      </c>
      <c r="E7" s="9" t="s">
        <v>80</v>
      </c>
      <c r="F7" s="25" t="s">
        <v>84</v>
      </c>
      <c r="G7" s="25" t="s">
        <v>45</v>
      </c>
      <c r="H7" s="61">
        <f>'тарифный метод (только ЖНВЛП)'!K44</f>
        <v>17.399999999999999</v>
      </c>
      <c r="I7" s="61">
        <f>'анализ рынка'!Q12</f>
        <v>17.399999999999999</v>
      </c>
      <c r="J7" s="25" t="s">
        <v>54</v>
      </c>
      <c r="K7" s="47" t="s">
        <v>9</v>
      </c>
      <c r="L7" s="62">
        <v>17.399999999999999</v>
      </c>
    </row>
    <row r="8" spans="1:12" ht="90.75" customHeight="1" x14ac:dyDescent="0.25">
      <c r="A8" s="31">
        <v>4</v>
      </c>
      <c r="B8" s="25" t="s">
        <v>85</v>
      </c>
      <c r="C8" s="25" t="s">
        <v>86</v>
      </c>
      <c r="D8" s="25" t="s">
        <v>77</v>
      </c>
      <c r="E8" s="9" t="s">
        <v>87</v>
      </c>
      <c r="F8" s="25" t="s">
        <v>88</v>
      </c>
      <c r="G8" s="25" t="s">
        <v>45</v>
      </c>
      <c r="H8" s="61">
        <f>'тарифный метод (только ЖНВЛП)'!K48</f>
        <v>44.22</v>
      </c>
      <c r="I8" s="61">
        <f>'анализ рынка'!Q13</f>
        <v>44.22</v>
      </c>
      <c r="J8" s="25" t="s">
        <v>54</v>
      </c>
      <c r="K8" s="47" t="s">
        <v>9</v>
      </c>
      <c r="L8" s="62">
        <v>44.22</v>
      </c>
    </row>
    <row r="9" spans="1:12" ht="90.75" customHeight="1" x14ac:dyDescent="0.25">
      <c r="A9" s="31">
        <v>5</v>
      </c>
      <c r="B9" s="25" t="s">
        <v>89</v>
      </c>
      <c r="C9" s="25" t="s">
        <v>90</v>
      </c>
      <c r="D9" s="25" t="s">
        <v>77</v>
      </c>
      <c r="E9" s="9" t="s">
        <v>87</v>
      </c>
      <c r="F9" s="25" t="s">
        <v>91</v>
      </c>
      <c r="G9" s="25" t="s">
        <v>45</v>
      </c>
      <c r="H9" s="61">
        <f>'тарифный метод (только ЖНВЛП)'!K72</f>
        <v>22.58</v>
      </c>
      <c r="I9" s="61">
        <f>'анализ рынка'!Q14</f>
        <v>22.58</v>
      </c>
      <c r="J9" s="25" t="s">
        <v>54</v>
      </c>
      <c r="K9" s="47" t="s">
        <v>9</v>
      </c>
      <c r="L9" s="62">
        <v>22.58</v>
      </c>
    </row>
    <row r="10" spans="1:12" ht="14.25" customHeight="1" x14ac:dyDescent="0.25"/>
    <row r="11" spans="1:12" ht="17.25" customHeight="1" x14ac:dyDescent="0.25">
      <c r="A11" s="131" t="s">
        <v>10</v>
      </c>
      <c r="B11" s="131"/>
      <c r="C11" s="131"/>
      <c r="D11" s="131"/>
      <c r="E11" s="131"/>
      <c r="F11" s="131"/>
      <c r="G11" s="131"/>
      <c r="H11" s="131"/>
      <c r="I11" s="131"/>
    </row>
    <row r="12" spans="1:12" ht="31.5" customHeight="1" x14ac:dyDescent="0.25">
      <c r="A12" s="96" t="s">
        <v>60</v>
      </c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</row>
    <row r="13" spans="1:12" ht="18" customHeight="1" x14ac:dyDescent="0.25">
      <c r="A13" s="132" t="s">
        <v>61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2" ht="24" customHeight="1" x14ac:dyDescent="0.25">
      <c r="A14" s="96" t="s">
        <v>41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</row>
    <row r="15" spans="1:12" ht="23.25" customHeight="1" x14ac:dyDescent="0.25">
      <c r="A15" s="48" t="s">
        <v>70</v>
      </c>
    </row>
    <row r="16" spans="1:12" ht="15" customHeight="1" x14ac:dyDescent="0.25">
      <c r="A16" s="133" t="s">
        <v>71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</row>
    <row r="17" spans="1:12" ht="45" customHeight="1" x14ac:dyDescent="0.25">
      <c r="A17" s="134" t="s">
        <v>66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</row>
    <row r="18" spans="1:12" ht="37.5" customHeight="1" x14ac:dyDescent="0.25">
      <c r="A18" s="96" t="s">
        <v>96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</row>
  </sheetData>
  <mergeCells count="8">
    <mergeCell ref="A2:L2"/>
    <mergeCell ref="A12:L12"/>
    <mergeCell ref="A11:I11"/>
    <mergeCell ref="A13:L13"/>
    <mergeCell ref="A18:L18"/>
    <mergeCell ref="A14:L14"/>
    <mergeCell ref="A16:L16"/>
    <mergeCell ref="A17:L17"/>
  </mergeCells>
  <pageMargins left="0.25" right="0.25" top="0.75" bottom="0.75" header="0.3" footer="0.3"/>
  <pageSetup paperSize="9" scale="4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="85" zoomScaleNormal="85" workbookViewId="0">
      <selection activeCell="H13" sqref="H13"/>
    </sheetView>
  </sheetViews>
  <sheetFormatPr defaultColWidth="8.85546875" defaultRowHeight="15" x14ac:dyDescent="0.25"/>
  <cols>
    <col min="1" max="1" width="4" style="4" customWidth="1"/>
    <col min="2" max="2" width="27.85546875" style="4" customWidth="1"/>
    <col min="3" max="3" width="20.42578125" style="4" customWidth="1"/>
    <col min="4" max="4" width="21.28515625" style="4" customWidth="1"/>
    <col min="5" max="5" width="57.28515625" style="4" customWidth="1"/>
    <col min="6" max="6" width="20.7109375" style="4" customWidth="1"/>
    <col min="7" max="7" width="20.42578125" style="4" customWidth="1"/>
    <col min="8" max="8" width="15.42578125" style="4" customWidth="1"/>
    <col min="9" max="9" width="13.5703125" style="4" customWidth="1"/>
    <col min="10" max="10" width="11.28515625" style="4" customWidth="1"/>
    <col min="11" max="11" width="14.7109375" style="4" customWidth="1"/>
    <col min="12" max="12" width="9.85546875" style="4" customWidth="1"/>
    <col min="13" max="13" width="13.7109375" style="4" customWidth="1"/>
    <col min="14" max="14" width="18" style="4" customWidth="1"/>
    <col min="15" max="15" width="5.42578125" style="4" customWidth="1"/>
    <col min="16" max="16384" width="8.85546875" style="4"/>
  </cols>
  <sheetData>
    <row r="1" spans="1:16" ht="14.25" customHeight="1" x14ac:dyDescent="0.25">
      <c r="L1" s="139"/>
      <c r="M1" s="139"/>
      <c r="N1" s="139"/>
    </row>
    <row r="2" spans="1:16" x14ac:dyDescent="0.25">
      <c r="A2" s="143" t="s">
        <v>46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</row>
    <row r="3" spans="1:16" ht="14.25" customHeight="1" x14ac:dyDescent="0.25"/>
    <row r="4" spans="1:16" ht="41.25" customHeight="1" x14ac:dyDescent="0.25">
      <c r="A4" s="95" t="s">
        <v>18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</row>
    <row r="5" spans="1:16" ht="24" customHeight="1" x14ac:dyDescent="0.25">
      <c r="A5" s="96" t="s">
        <v>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6" ht="31.5" customHeight="1" x14ac:dyDescent="0.25">
      <c r="A6" s="96" t="s">
        <v>19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</row>
    <row r="7" spans="1:16" ht="38.25" customHeight="1" x14ac:dyDescent="0.25">
      <c r="A7" s="144" t="s">
        <v>72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</row>
    <row r="9" spans="1:16" ht="108" customHeight="1" x14ac:dyDescent="0.25">
      <c r="A9" s="31" t="s">
        <v>0</v>
      </c>
      <c r="B9" s="25" t="s">
        <v>1</v>
      </c>
      <c r="C9" s="25" t="s">
        <v>11</v>
      </c>
      <c r="D9" s="25" t="s">
        <v>12</v>
      </c>
      <c r="E9" s="9" t="s">
        <v>13</v>
      </c>
      <c r="F9" s="25" t="s">
        <v>14</v>
      </c>
      <c r="G9" s="25" t="s">
        <v>15</v>
      </c>
      <c r="H9" s="9" t="s">
        <v>8</v>
      </c>
      <c r="I9" s="31" t="s">
        <v>32</v>
      </c>
      <c r="J9" s="31" t="s">
        <v>58</v>
      </c>
      <c r="K9" s="31" t="s">
        <v>59</v>
      </c>
      <c r="L9" s="31" t="s">
        <v>55</v>
      </c>
      <c r="M9" s="32" t="s">
        <v>49</v>
      </c>
      <c r="N9" s="32" t="s">
        <v>4</v>
      </c>
    </row>
    <row r="10" spans="1:16" ht="97.5" customHeight="1" x14ac:dyDescent="0.25">
      <c r="A10" s="31">
        <v>1</v>
      </c>
      <c r="B10" s="25" t="s">
        <v>73</v>
      </c>
      <c r="C10" s="25" t="s">
        <v>74</v>
      </c>
      <c r="D10" s="25" t="s">
        <v>77</v>
      </c>
      <c r="E10" s="9" t="s">
        <v>75</v>
      </c>
      <c r="F10" s="25" t="s">
        <v>76</v>
      </c>
      <c r="G10" s="25" t="s">
        <v>45</v>
      </c>
      <c r="H10" s="54">
        <v>4000</v>
      </c>
      <c r="I10" s="33">
        <f>'Выбор минимального значения'!L5</f>
        <v>5.43</v>
      </c>
      <c r="J10" s="34">
        <v>0.5</v>
      </c>
      <c r="K10" s="53">
        <f>I10*1.5</f>
        <v>8.1449999999999996</v>
      </c>
      <c r="L10" s="63">
        <v>8.9600000000000009</v>
      </c>
      <c r="M10" s="35">
        <v>8.9600000000000009</v>
      </c>
      <c r="N10" s="35">
        <f>M10*H10</f>
        <v>35840</v>
      </c>
      <c r="P10" s="92"/>
    </row>
    <row r="11" spans="1:16" ht="97.5" customHeight="1" x14ac:dyDescent="0.25">
      <c r="A11" s="31">
        <v>2</v>
      </c>
      <c r="B11" s="25" t="s">
        <v>78</v>
      </c>
      <c r="C11" s="25" t="s">
        <v>79</v>
      </c>
      <c r="D11" s="25" t="s">
        <v>77</v>
      </c>
      <c r="E11" s="9" t="s">
        <v>80</v>
      </c>
      <c r="F11" s="25" t="s">
        <v>81</v>
      </c>
      <c r="G11" s="25" t="s">
        <v>45</v>
      </c>
      <c r="H11" s="54">
        <v>14000</v>
      </c>
      <c r="I11" s="33">
        <f>'Выбор минимального значения'!L6</f>
        <v>9.6199999999999992</v>
      </c>
      <c r="J11" s="34">
        <v>0.49</v>
      </c>
      <c r="K11" s="53">
        <f>I11*1.49</f>
        <v>14.333799999999998</v>
      </c>
      <c r="L11" s="63">
        <f>14.33*1.1</f>
        <v>15.763000000000002</v>
      </c>
      <c r="M11" s="35">
        <v>15.76</v>
      </c>
      <c r="N11" s="35">
        <f>M11*H11</f>
        <v>220640</v>
      </c>
    </row>
    <row r="12" spans="1:16" ht="97.5" customHeight="1" x14ac:dyDescent="0.25">
      <c r="A12" s="31">
        <v>3</v>
      </c>
      <c r="B12" s="25" t="s">
        <v>82</v>
      </c>
      <c r="C12" s="25" t="s">
        <v>83</v>
      </c>
      <c r="D12" s="25" t="s">
        <v>77</v>
      </c>
      <c r="E12" s="9" t="s">
        <v>80</v>
      </c>
      <c r="F12" s="25" t="s">
        <v>84</v>
      </c>
      <c r="G12" s="25" t="s">
        <v>45</v>
      </c>
      <c r="H12" s="54">
        <v>700</v>
      </c>
      <c r="I12" s="33">
        <f>'Выбор минимального значения'!L7</f>
        <v>17.399999999999999</v>
      </c>
      <c r="J12" s="34">
        <v>0.49</v>
      </c>
      <c r="K12" s="53">
        <f>I12*1.49</f>
        <v>25.925999999999998</v>
      </c>
      <c r="L12" s="63">
        <f>25.93*1.1</f>
        <v>28.523000000000003</v>
      </c>
      <c r="M12" s="35">
        <v>28.52</v>
      </c>
      <c r="N12" s="35">
        <f>M12*H12</f>
        <v>19964</v>
      </c>
    </row>
    <row r="13" spans="1:16" ht="97.5" customHeight="1" x14ac:dyDescent="0.25">
      <c r="A13" s="31">
        <v>4</v>
      </c>
      <c r="B13" s="25" t="s">
        <v>85</v>
      </c>
      <c r="C13" s="25" t="s">
        <v>86</v>
      </c>
      <c r="D13" s="25" t="s">
        <v>77</v>
      </c>
      <c r="E13" s="9" t="s">
        <v>87</v>
      </c>
      <c r="F13" s="25" t="s">
        <v>88</v>
      </c>
      <c r="G13" s="25" t="s">
        <v>45</v>
      </c>
      <c r="H13" s="54">
        <v>200</v>
      </c>
      <c r="I13" s="33">
        <f>'Выбор минимального значения'!L8</f>
        <v>44.22</v>
      </c>
      <c r="J13" s="34">
        <v>0.49</v>
      </c>
      <c r="K13" s="53">
        <f>I13*1.49</f>
        <v>65.887799999999999</v>
      </c>
      <c r="L13" s="63">
        <f>65.89*1.1</f>
        <v>72.479000000000013</v>
      </c>
      <c r="M13" s="35">
        <v>72.48</v>
      </c>
      <c r="N13" s="35">
        <f>M13*H13</f>
        <v>14496</v>
      </c>
    </row>
    <row r="14" spans="1:16" ht="97.5" customHeight="1" x14ac:dyDescent="0.25">
      <c r="A14" s="31">
        <v>5</v>
      </c>
      <c r="B14" s="25" t="s">
        <v>89</v>
      </c>
      <c r="C14" s="25" t="s">
        <v>90</v>
      </c>
      <c r="D14" s="25" t="s">
        <v>77</v>
      </c>
      <c r="E14" s="9" t="s">
        <v>87</v>
      </c>
      <c r="F14" s="25" t="s">
        <v>91</v>
      </c>
      <c r="G14" s="25" t="s">
        <v>45</v>
      </c>
      <c r="H14" s="54">
        <v>100</v>
      </c>
      <c r="I14" s="33">
        <f>'Выбор минимального значения'!L9</f>
        <v>22.58</v>
      </c>
      <c r="J14" s="34">
        <v>0.49</v>
      </c>
      <c r="K14" s="53">
        <f>I14*1.49</f>
        <v>33.644199999999998</v>
      </c>
      <c r="L14" s="63">
        <f>33.64*1.1</f>
        <v>37.004000000000005</v>
      </c>
      <c r="M14" s="35">
        <v>37</v>
      </c>
      <c r="N14" s="35">
        <f>M14*H14</f>
        <v>3700</v>
      </c>
    </row>
    <row r="15" spans="1:16" ht="27.75" customHeight="1" x14ac:dyDescent="0.25">
      <c r="A15" s="136" t="s">
        <v>68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8"/>
      <c r="N15" s="36">
        <f>SUM(N10:N14)</f>
        <v>294640</v>
      </c>
      <c r="O15" s="37"/>
    </row>
    <row r="16" spans="1:16" x14ac:dyDescent="0.25">
      <c r="A16" s="38"/>
      <c r="B16" s="38"/>
      <c r="C16" s="38"/>
      <c r="D16" s="38"/>
      <c r="E16" s="38"/>
      <c r="F16" s="38"/>
      <c r="G16" s="38"/>
      <c r="H16" s="38"/>
      <c r="I16" s="38"/>
      <c r="J16" s="51"/>
      <c r="K16" s="51"/>
      <c r="L16" s="38"/>
      <c r="M16" s="38"/>
      <c r="N16" s="39"/>
      <c r="O16" s="37"/>
    </row>
    <row r="17" spans="1:15" ht="24.75" customHeight="1" x14ac:dyDescent="0.25">
      <c r="A17" s="140" t="s">
        <v>63</v>
      </c>
      <c r="B17" s="140"/>
      <c r="C17" s="140"/>
      <c r="D17" s="140"/>
      <c r="E17" s="140"/>
      <c r="F17" s="140"/>
      <c r="G17" s="140"/>
      <c r="H17" s="142">
        <f>N15</f>
        <v>294640</v>
      </c>
      <c r="I17" s="142"/>
      <c r="J17" s="52"/>
      <c r="K17" s="52"/>
      <c r="L17" s="40"/>
      <c r="M17" s="38"/>
      <c r="N17" s="41"/>
      <c r="O17" s="37"/>
    </row>
    <row r="18" spans="1:15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51"/>
      <c r="K18" s="51"/>
      <c r="L18" s="38"/>
      <c r="M18" s="38"/>
      <c r="N18" s="41"/>
      <c r="O18" s="37"/>
    </row>
    <row r="19" spans="1:15" ht="16.5" customHeight="1" x14ac:dyDescent="0.25">
      <c r="A19" s="42" t="s">
        <v>56</v>
      </c>
      <c r="N19" s="43"/>
      <c r="O19" s="37"/>
    </row>
    <row r="20" spans="1:15" ht="14.25" customHeight="1" x14ac:dyDescent="0.25">
      <c r="A20" s="42" t="s">
        <v>57</v>
      </c>
      <c r="B20" s="38"/>
      <c r="C20" s="38"/>
      <c r="D20" s="38"/>
      <c r="E20" s="38"/>
      <c r="F20" s="38"/>
      <c r="G20" s="38"/>
      <c r="H20" s="38"/>
      <c r="I20" s="38"/>
      <c r="J20" s="51"/>
      <c r="K20" s="51"/>
      <c r="L20" s="38"/>
      <c r="M20" s="38"/>
      <c r="N20" s="41"/>
      <c r="O20" s="37"/>
    </row>
    <row r="21" spans="1:15" ht="38.25" customHeight="1" x14ac:dyDescent="0.25">
      <c r="A21" s="96" t="s">
        <v>64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37"/>
    </row>
    <row r="22" spans="1:15" ht="16.899999999999999" customHeight="1" x14ac:dyDescent="0.25">
      <c r="D22" s="44"/>
      <c r="E22" s="45"/>
      <c r="F22" s="45"/>
      <c r="G22" s="45"/>
      <c r="H22" s="45"/>
      <c r="I22" s="45"/>
      <c r="J22" s="45"/>
      <c r="K22" s="45"/>
      <c r="O22" s="37"/>
    </row>
    <row r="23" spans="1:15" ht="28.9" customHeight="1" x14ac:dyDescent="0.25">
      <c r="A23" s="135" t="s">
        <v>67</v>
      </c>
      <c r="B23" s="135"/>
      <c r="C23" s="135"/>
      <c r="D23" s="135"/>
      <c r="E23" s="135"/>
      <c r="F23" s="135"/>
      <c r="G23" s="135"/>
      <c r="H23" s="45"/>
      <c r="I23" s="45"/>
      <c r="J23" s="45"/>
      <c r="K23" s="45"/>
      <c r="N23" s="45"/>
      <c r="O23" s="37"/>
    </row>
    <row r="24" spans="1:15" ht="26.25" customHeight="1" x14ac:dyDescent="0.25">
      <c r="B24" s="45"/>
      <c r="C24" s="45"/>
      <c r="F24" s="45"/>
      <c r="G24" s="45"/>
      <c r="H24" s="66"/>
      <c r="I24" s="46"/>
      <c r="J24" s="46"/>
      <c r="K24" s="46"/>
    </row>
    <row r="25" spans="1:15" x14ac:dyDescent="0.25">
      <c r="A25" s="45"/>
      <c r="B25" s="45"/>
      <c r="C25" s="45"/>
      <c r="E25" s="4" t="s">
        <v>199</v>
      </c>
      <c r="F25" s="45"/>
      <c r="G25" s="45"/>
      <c r="H25" s="46"/>
      <c r="I25" s="46"/>
      <c r="J25" s="46"/>
      <c r="K25" s="46"/>
      <c r="L25" s="45"/>
    </row>
    <row r="26" spans="1:15" x14ac:dyDescent="0.25">
      <c r="D26" s="45"/>
      <c r="E26" s="45"/>
      <c r="F26" s="45"/>
      <c r="G26" s="45"/>
      <c r="H26" s="45"/>
      <c r="I26" s="45"/>
      <c r="J26" s="45"/>
      <c r="K26" s="45"/>
      <c r="L26" s="45"/>
    </row>
  </sheetData>
  <mergeCells count="11">
    <mergeCell ref="A23:G23"/>
    <mergeCell ref="A15:M15"/>
    <mergeCell ref="L1:N1"/>
    <mergeCell ref="A17:G17"/>
    <mergeCell ref="A21:N21"/>
    <mergeCell ref="H17:I17"/>
    <mergeCell ref="A2:N2"/>
    <mergeCell ref="A4:N4"/>
    <mergeCell ref="A5:N5"/>
    <mergeCell ref="A6:N6"/>
    <mergeCell ref="A7:N7"/>
  </mergeCells>
  <pageMargins left="0.25" right="0.25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 метод (только ЖНВЛП)</vt:lpstr>
      <vt:lpstr>Средневзвешенная</vt:lpstr>
      <vt:lpstr>анализ рынка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Добрынина Елена Евгеньевна</cp:lastModifiedBy>
  <cp:lastPrinted>2026-09-17T07:34:53Z</cp:lastPrinted>
  <dcterms:created xsi:type="dcterms:W3CDTF">2018-01-29T11:31:17Z</dcterms:created>
  <dcterms:modified xsi:type="dcterms:W3CDTF">2026-09-22T06:13:47Z</dcterms:modified>
</cp:coreProperties>
</file>